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0520" windowHeight="7530" activeTab="1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BF102" i="2"/>
  <c r="BF65"/>
  <c r="BF64"/>
  <c r="BF63"/>
  <c r="BE22"/>
  <c r="BE21"/>
  <c r="BE20"/>
  <c r="BE19"/>
  <c r="BE18"/>
  <c r="BE17"/>
  <c r="BE16"/>
  <c r="BE15"/>
  <c r="BE14"/>
  <c r="BE13"/>
  <c r="BE12"/>
  <c r="BE11"/>
  <c r="BE10"/>
  <c r="BE9"/>
  <c r="BE8"/>
  <c r="BE7"/>
  <c r="BE6"/>
  <c r="BE5"/>
  <c r="BE4"/>
  <c r="BE3"/>
  <c r="BE2"/>
  <c r="BA115"/>
  <c r="AZ115"/>
  <c r="AY115"/>
  <c r="BA114"/>
  <c r="AZ114"/>
  <c r="AY114"/>
  <c r="BA113"/>
  <c r="AZ113"/>
  <c r="AY113"/>
  <c r="BA112"/>
  <c r="AZ112"/>
  <c r="AY112"/>
  <c r="BA111"/>
  <c r="AZ111"/>
  <c r="AY111"/>
  <c r="BA110"/>
  <c r="AZ110"/>
  <c r="AY110"/>
  <c r="BA109"/>
  <c r="AZ109"/>
  <c r="AY109"/>
  <c r="BA108"/>
  <c r="AZ108"/>
  <c r="AY108"/>
  <c r="BA107"/>
  <c r="AZ107"/>
  <c r="AY107"/>
  <c r="BA106"/>
  <c r="AZ106"/>
  <c r="AY106"/>
  <c r="BA105"/>
  <c r="AZ105"/>
  <c r="AY105"/>
  <c r="BA104"/>
  <c r="AZ104"/>
  <c r="AY104"/>
  <c r="BA103"/>
  <c r="AZ103"/>
  <c r="AY103"/>
  <c r="BA102"/>
  <c r="AZ102"/>
  <c r="AY102"/>
  <c r="BA101"/>
  <c r="AZ101"/>
  <c r="AY101"/>
  <c r="BA100"/>
  <c r="AZ100"/>
  <c r="AY100"/>
  <c r="BA99"/>
  <c r="AZ99"/>
  <c r="AY99"/>
  <c r="BA98"/>
  <c r="AZ98"/>
  <c r="AY98"/>
  <c r="BA97"/>
  <c r="AZ97"/>
  <c r="AY97"/>
  <c r="BA96"/>
  <c r="AZ96"/>
  <c r="AY96"/>
  <c r="BA95"/>
  <c r="AZ95"/>
  <c r="AY95"/>
  <c r="BA94"/>
  <c r="AZ94"/>
  <c r="AY94"/>
  <c r="BA93"/>
  <c r="AZ93"/>
  <c r="AY93"/>
  <c r="BA92"/>
  <c r="AZ92"/>
  <c r="AY92"/>
  <c r="BA91"/>
  <c r="AZ91"/>
  <c r="AY91"/>
  <c r="BA90"/>
  <c r="AZ90"/>
  <c r="AY90"/>
  <c r="BA89"/>
  <c r="AZ89"/>
  <c r="AY89"/>
  <c r="BA88"/>
  <c r="AZ88"/>
  <c r="AY88"/>
  <c r="BA87"/>
  <c r="AZ87"/>
  <c r="AY87"/>
  <c r="BA86"/>
  <c r="AZ86"/>
  <c r="AY86"/>
  <c r="BA85"/>
  <c r="AZ85"/>
  <c r="AY85"/>
  <c r="BA84"/>
  <c r="AZ84"/>
  <c r="AY84"/>
  <c r="BA83"/>
  <c r="AZ83"/>
  <c r="AY83"/>
  <c r="BA82"/>
  <c r="AZ82"/>
  <c r="AY82"/>
  <c r="BA81"/>
  <c r="AZ81"/>
  <c r="AY81"/>
  <c r="BA80"/>
  <c r="AZ80"/>
  <c r="AY80"/>
  <c r="BA79"/>
  <c r="AZ79"/>
  <c r="AY79"/>
  <c r="BA78"/>
  <c r="AZ78"/>
  <c r="AY78"/>
  <c r="BA77"/>
  <c r="AZ77"/>
  <c r="AY77"/>
  <c r="BA76"/>
  <c r="AZ76"/>
  <c r="AY76"/>
  <c r="BA75"/>
  <c r="AZ75"/>
  <c r="AY75"/>
  <c r="BA74"/>
  <c r="AZ74"/>
  <c r="AY74"/>
  <c r="BA73"/>
  <c r="AZ73"/>
  <c r="AY73"/>
  <c r="BA72"/>
  <c r="AZ72"/>
  <c r="AY72"/>
  <c r="BA71"/>
  <c r="AZ71"/>
  <c r="AY71"/>
  <c r="BA70"/>
  <c r="AZ70"/>
  <c r="AY70"/>
  <c r="BA69"/>
  <c r="AZ69"/>
  <c r="AY69"/>
  <c r="BA68"/>
  <c r="AZ68"/>
  <c r="AY68"/>
  <c r="BA67"/>
  <c r="AZ67"/>
  <c r="AY67"/>
  <c r="BA66"/>
  <c r="AZ66"/>
  <c r="AY66"/>
  <c r="BA65"/>
  <c r="AZ65"/>
  <c r="AY65"/>
  <c r="BA64"/>
  <c r="AZ64"/>
  <c r="AY64"/>
  <c r="BA63"/>
  <c r="AZ63"/>
  <c r="AY63"/>
  <c r="BA62"/>
  <c r="AZ62"/>
  <c r="AY62"/>
  <c r="BA61"/>
  <c r="AZ61"/>
  <c r="AY61"/>
  <c r="AX61"/>
  <c r="BA60"/>
  <c r="AZ60"/>
  <c r="AY60"/>
  <c r="AX60"/>
  <c r="BA59"/>
  <c r="AZ59"/>
  <c r="AY59"/>
  <c r="AX59"/>
  <c r="BA58"/>
  <c r="AZ58"/>
  <c r="AY58"/>
  <c r="AX58"/>
  <c r="BA57"/>
  <c r="AZ57"/>
  <c r="AY57"/>
  <c r="AX57"/>
  <c r="BA56"/>
  <c r="AZ56"/>
  <c r="AY56"/>
  <c r="AX56"/>
  <c r="BA55"/>
  <c r="AZ55"/>
  <c r="AY55"/>
  <c r="AX55"/>
  <c r="BA54"/>
  <c r="AZ54"/>
  <c r="AY54"/>
  <c r="AX54"/>
  <c r="BA53"/>
  <c r="AZ53"/>
  <c r="AY53"/>
  <c r="AX53"/>
  <c r="BA52"/>
  <c r="AZ52"/>
  <c r="AY52"/>
  <c r="BA51"/>
  <c r="AZ51"/>
  <c r="AY51"/>
  <c r="AX51"/>
  <c r="BA50"/>
  <c r="AZ50"/>
  <c r="AY50"/>
  <c r="AX50"/>
  <c r="BA49"/>
  <c r="AZ49"/>
  <c r="AY49"/>
  <c r="AX49"/>
  <c r="BA48"/>
  <c r="AZ48"/>
  <c r="AY48"/>
  <c r="BA47"/>
  <c r="AZ47"/>
  <c r="AY47"/>
  <c r="BA46"/>
  <c r="AZ46"/>
  <c r="AY46"/>
  <c r="BA45"/>
  <c r="AZ45"/>
  <c r="AY45"/>
  <c r="AX45"/>
  <c r="BA44"/>
  <c r="AZ44"/>
  <c r="AY44"/>
  <c r="AX44"/>
  <c r="BA43"/>
  <c r="AZ43"/>
  <c r="AY43"/>
  <c r="AX43"/>
  <c r="BA42"/>
  <c r="AZ42"/>
  <c r="AY42"/>
  <c r="AX42"/>
  <c r="BA41"/>
  <c r="AZ41"/>
  <c r="AY41"/>
  <c r="AX41"/>
  <c r="BA40"/>
  <c r="AZ40"/>
  <c r="AY40"/>
  <c r="AX40"/>
  <c r="BA39"/>
  <c r="AZ39"/>
  <c r="AY39"/>
  <c r="AX39"/>
  <c r="BA38"/>
  <c r="AZ38"/>
  <c r="AY38"/>
  <c r="AX38"/>
  <c r="BA37"/>
  <c r="AZ37"/>
  <c r="AY37"/>
  <c r="AX37"/>
  <c r="BA36"/>
  <c r="AZ36"/>
  <c r="AY36"/>
  <c r="AX36"/>
  <c r="BA35"/>
  <c r="AZ35"/>
  <c r="AY35"/>
  <c r="AX35"/>
  <c r="BA34"/>
  <c r="AZ34"/>
  <c r="AY34"/>
  <c r="AX34"/>
  <c r="BA33"/>
  <c r="AZ33"/>
  <c r="AY33"/>
  <c r="AX33"/>
  <c r="BA32"/>
  <c r="AZ32"/>
  <c r="AY32"/>
  <c r="AX32"/>
  <c r="BA31"/>
  <c r="AZ31"/>
  <c r="AY31"/>
  <c r="AX31"/>
  <c r="BA30"/>
  <c r="AZ30"/>
  <c r="AY30"/>
  <c r="AX30"/>
  <c r="BA29"/>
  <c r="AZ29"/>
  <c r="AY29"/>
  <c r="AX29"/>
  <c r="BA28"/>
  <c r="AZ28"/>
  <c r="AY28"/>
  <c r="AX28"/>
  <c r="BA27"/>
  <c r="AZ27"/>
  <c r="AY27"/>
  <c r="AX27"/>
  <c r="BA26"/>
  <c r="AZ26"/>
  <c r="AY26"/>
  <c r="BA25"/>
  <c r="AZ25"/>
  <c r="AY25"/>
  <c r="BA24"/>
  <c r="AZ24"/>
  <c r="AY24"/>
  <c r="BA23"/>
  <c r="AZ23"/>
  <c r="AY23"/>
  <c r="BA22"/>
  <c r="AZ22"/>
  <c r="AY22"/>
  <c r="AX22"/>
  <c r="BA21"/>
  <c r="AZ21"/>
  <c r="AY21"/>
  <c r="AX21"/>
  <c r="BA20"/>
  <c r="AZ20"/>
  <c r="AY20"/>
  <c r="AX20"/>
  <c r="BA19"/>
  <c r="AZ19"/>
  <c r="AY19"/>
  <c r="AX19"/>
  <c r="BA18"/>
  <c r="AZ18"/>
  <c r="AY18"/>
  <c r="AX18"/>
  <c r="BA17"/>
  <c r="AZ17"/>
  <c r="AY17"/>
  <c r="AX17"/>
  <c r="BB16"/>
  <c r="BA16"/>
  <c r="AZ16"/>
  <c r="AY16"/>
  <c r="AX16"/>
  <c r="BB15"/>
  <c r="BA15"/>
  <c r="AZ15"/>
  <c r="AY15"/>
  <c r="AX15"/>
  <c r="BB14"/>
  <c r="BA14"/>
  <c r="AZ14"/>
  <c r="AY14"/>
  <c r="AX14"/>
  <c r="BB13"/>
  <c r="BA13"/>
  <c r="AZ13"/>
  <c r="AY13"/>
  <c r="AX13"/>
  <c r="BB12"/>
  <c r="BA12"/>
  <c r="AZ12"/>
  <c r="AY12"/>
  <c r="AX12"/>
  <c r="BB11"/>
  <c r="BA11"/>
  <c r="AZ11"/>
  <c r="AY11"/>
  <c r="AX11"/>
  <c r="BB10"/>
  <c r="BA10"/>
  <c r="AZ10"/>
  <c r="AY10"/>
  <c r="AX10"/>
  <c r="BB9"/>
  <c r="BA9"/>
  <c r="AZ9"/>
  <c r="AY9"/>
  <c r="AX9"/>
  <c r="BB8"/>
  <c r="BA8"/>
  <c r="AZ8"/>
  <c r="AY8"/>
  <c r="AX8"/>
  <c r="BB7"/>
  <c r="BA7"/>
  <c r="AZ7"/>
  <c r="AY7"/>
  <c r="AX7"/>
  <c r="BB6"/>
  <c r="BA6"/>
  <c r="AZ6"/>
  <c r="AY6"/>
  <c r="AX6"/>
  <c r="BB5"/>
  <c r="BA5"/>
  <c r="AZ5"/>
  <c r="AY5"/>
  <c r="AX5"/>
  <c r="BB4"/>
  <c r="BA4"/>
  <c r="AZ4"/>
  <c r="AY4"/>
  <c r="AX4"/>
  <c r="BB3"/>
  <c r="BA3"/>
  <c r="AZ3"/>
  <c r="AY3"/>
  <c r="AX3"/>
  <c r="BB2"/>
  <c r="BA2"/>
  <c r="AZ2"/>
  <c r="AY2"/>
  <c r="AX2"/>
  <c r="AW111"/>
  <c r="AW85"/>
  <c r="AW84"/>
  <c r="AW64"/>
  <c r="AW63"/>
  <c r="AW62"/>
  <c r="AW61"/>
  <c r="AW50"/>
  <c r="AW49"/>
  <c r="AW48"/>
  <c r="AW44"/>
  <c r="AW43"/>
  <c r="AW42"/>
  <c r="AW41"/>
  <c r="AW40"/>
  <c r="AW39"/>
  <c r="AW38"/>
  <c r="AW37"/>
  <c r="AW36"/>
  <c r="AW35"/>
  <c r="AW34"/>
  <c r="AW33"/>
  <c r="AW32"/>
  <c r="AW31"/>
  <c r="AW30"/>
  <c r="AW29"/>
  <c r="AW28"/>
  <c r="AW27"/>
  <c r="AW26"/>
  <c r="AW25"/>
  <c r="AW24"/>
  <c r="AU115"/>
  <c r="AU114"/>
  <c r="AU113"/>
  <c r="AU112"/>
  <c r="AU111"/>
  <c r="AU110"/>
  <c r="AU109"/>
  <c r="AU108"/>
  <c r="AU107"/>
  <c r="AU106"/>
  <c r="AU105"/>
  <c r="AU104"/>
  <c r="AU103"/>
  <c r="AU102"/>
  <c r="AU101"/>
  <c r="AU100"/>
  <c r="AU99"/>
  <c r="AU98"/>
  <c r="AU97"/>
  <c r="AU96"/>
  <c r="AU95"/>
  <c r="AU94"/>
  <c r="AU93"/>
  <c r="AU92"/>
  <c r="AU91"/>
  <c r="AT115"/>
  <c r="AT114"/>
  <c r="AT113"/>
  <c r="AT112"/>
  <c r="AT111"/>
  <c r="AT110"/>
  <c r="AT109"/>
  <c r="AT108"/>
  <c r="AT107"/>
  <c r="AT106"/>
  <c r="AT105"/>
  <c r="AT104"/>
  <c r="AT103"/>
  <c r="AT102"/>
  <c r="AT101"/>
  <c r="AT100"/>
  <c r="AT99"/>
  <c r="AT98"/>
  <c r="AT97"/>
  <c r="AT96"/>
  <c r="AT95"/>
  <c r="AT94"/>
  <c r="AT93"/>
  <c r="AT92"/>
  <c r="AT91"/>
  <c r="AT90"/>
  <c r="AT89"/>
  <c r="AT88"/>
  <c r="AT87"/>
  <c r="AT86"/>
  <c r="AT83"/>
  <c r="AT82"/>
  <c r="AT81"/>
  <c r="AT80"/>
  <c r="AT79"/>
  <c r="AT78"/>
  <c r="AT77"/>
  <c r="AT76"/>
  <c r="AT75"/>
  <c r="AT74"/>
  <c r="AT73"/>
  <c r="AT72"/>
  <c r="AT71"/>
  <c r="AT70"/>
  <c r="AT69"/>
  <c r="AT68"/>
  <c r="AT67"/>
  <c r="AT66"/>
  <c r="AT65"/>
  <c r="AT64"/>
  <c r="AT63"/>
  <c r="AT61"/>
  <c r="AT60"/>
  <c r="AT59"/>
  <c r="AT58"/>
  <c r="AT57"/>
  <c r="AT56"/>
  <c r="AT55"/>
  <c r="AT54"/>
  <c r="AT53"/>
  <c r="AT52"/>
  <c r="AT51"/>
  <c r="AT50"/>
  <c r="AT49"/>
  <c r="AT48"/>
  <c r="AT47"/>
  <c r="AT46"/>
  <c r="AT45"/>
  <c r="AT44"/>
  <c r="AT43"/>
  <c r="AT42"/>
  <c r="AT41"/>
  <c r="AT40"/>
  <c r="AT39"/>
  <c r="AT38"/>
  <c r="AT37"/>
  <c r="AT36"/>
  <c r="AT35"/>
  <c r="AT34"/>
  <c r="AT33"/>
  <c r="AT32"/>
  <c r="AT31"/>
  <c r="AT30"/>
  <c r="AT29"/>
  <c r="AT28"/>
  <c r="AT27"/>
  <c r="AT26"/>
  <c r="AT25"/>
  <c r="AT24"/>
  <c r="AT23"/>
  <c r="AT22"/>
  <c r="AT21"/>
  <c r="AT20"/>
  <c r="AT19"/>
  <c r="AT18"/>
  <c r="AT17"/>
  <c r="AT16"/>
  <c r="AT15"/>
  <c r="AT14"/>
  <c r="AT13"/>
  <c r="AT12"/>
  <c r="AT11"/>
  <c r="AT10"/>
  <c r="AT9"/>
  <c r="AT8"/>
  <c r="AT7"/>
  <c r="AT6"/>
  <c r="AT5"/>
  <c r="AT4"/>
  <c r="AT3"/>
  <c r="AT2"/>
  <c r="AQ67"/>
  <c r="AQ66"/>
  <c r="AQ65"/>
  <c r="AF115"/>
  <c r="AF114"/>
  <c r="AF113"/>
  <c r="AF112"/>
  <c r="AF111"/>
  <c r="AF110"/>
  <c r="AF109"/>
  <c r="AF108"/>
  <c r="AF107"/>
  <c r="AF106"/>
  <c r="AF105"/>
  <c r="AF104"/>
  <c r="AF103"/>
  <c r="AF102"/>
  <c r="AF101"/>
  <c r="AF100"/>
  <c r="AF99"/>
  <c r="AF98"/>
  <c r="AF97"/>
  <c r="AF96"/>
  <c r="AF95"/>
  <c r="AF94"/>
  <c r="AF93"/>
  <c r="AF92"/>
  <c r="AF91"/>
  <c r="AF90"/>
  <c r="AF89"/>
  <c r="AF88"/>
  <c r="AF87"/>
  <c r="AF86"/>
  <c r="AF85"/>
  <c r="AF84"/>
  <c r="AF83"/>
  <c r="AF82"/>
  <c r="AF81"/>
  <c r="AF80"/>
  <c r="AF79"/>
  <c r="AF78"/>
  <c r="AF77"/>
  <c r="AF76"/>
  <c r="AF75"/>
  <c r="AF74"/>
  <c r="AF73"/>
  <c r="AF72"/>
  <c r="AF71"/>
  <c r="AF70"/>
  <c r="AF69"/>
  <c r="AF68"/>
  <c r="AF67"/>
  <c r="AF66"/>
  <c r="AF65"/>
  <c r="AF64"/>
  <c r="AF63"/>
  <c r="AF62"/>
  <c r="AF61"/>
  <c r="AF60"/>
  <c r="AF59"/>
  <c r="AF58"/>
  <c r="AF57"/>
  <c r="AF56"/>
  <c r="AF55"/>
  <c r="AF54"/>
  <c r="AF53"/>
  <c r="AF52"/>
  <c r="AF51"/>
  <c r="AF50"/>
  <c r="AF49"/>
  <c r="AF48"/>
  <c r="AF47"/>
  <c r="AF46"/>
  <c r="AF45"/>
  <c r="AF44"/>
  <c r="AF43"/>
  <c r="AF42"/>
  <c r="AF41"/>
  <c r="AF40"/>
  <c r="AF39"/>
  <c r="AF38"/>
  <c r="AF37"/>
  <c r="AF36"/>
  <c r="AF35"/>
  <c r="AF34"/>
  <c r="AF33"/>
  <c r="AF32"/>
  <c r="AF31"/>
  <c r="AF30"/>
  <c r="AF29"/>
  <c r="AF28"/>
  <c r="AF27"/>
  <c r="AF26"/>
  <c r="AF25"/>
  <c r="AF24"/>
  <c r="AF23"/>
  <c r="AF22"/>
  <c r="AF21"/>
  <c r="AF20"/>
  <c r="AF19"/>
  <c r="AF18"/>
  <c r="AF17"/>
  <c r="AF16"/>
  <c r="AF15"/>
  <c r="AF14"/>
  <c r="AF13"/>
  <c r="AF12"/>
  <c r="AF11"/>
  <c r="AF10"/>
  <c r="AF9"/>
  <c r="AF8"/>
  <c r="AF7"/>
  <c r="AF6"/>
  <c r="AF5"/>
  <c r="AF4"/>
  <c r="AF3"/>
  <c r="AF2"/>
  <c r="AD25"/>
  <c r="AD24"/>
  <c r="AD23"/>
  <c r="AD21"/>
  <c r="AD20"/>
  <c r="AD19"/>
  <c r="AD18"/>
  <c r="AD17"/>
  <c r="AD16"/>
  <c r="AD15"/>
  <c r="AD14"/>
  <c r="AD13"/>
  <c r="AD12"/>
  <c r="AD11"/>
  <c r="AD10"/>
  <c r="AD9"/>
  <c r="AD8"/>
  <c r="AD7"/>
  <c r="AD6"/>
  <c r="AD5"/>
  <c r="AD4"/>
  <c r="AD3"/>
  <c r="AD2"/>
</calcChain>
</file>

<file path=xl/sharedStrings.xml><?xml version="1.0" encoding="utf-8"?>
<sst xmlns="http://schemas.openxmlformats.org/spreadsheetml/2006/main" count="215" uniqueCount="70">
  <si>
    <t>id</t>
  </si>
  <si>
    <t>type</t>
  </si>
  <si>
    <t>type_reading</t>
  </si>
  <si>
    <t>status</t>
  </si>
  <si>
    <t>name</t>
  </si>
  <si>
    <t>meter_id</t>
  </si>
  <si>
    <t>source_id</t>
  </si>
  <si>
    <t>description</t>
  </si>
  <si>
    <t>Voda - ČOV</t>
  </si>
  <si>
    <t>Voda - Ubytovny</t>
  </si>
  <si>
    <t>Voda - Kotelna</t>
  </si>
  <si>
    <t>Voda - Správní bud.</t>
  </si>
  <si>
    <t>Voda - Vodáci</t>
  </si>
  <si>
    <t>Voda - Kropení</t>
  </si>
  <si>
    <t>manual</t>
  </si>
  <si>
    <t>auto</t>
  </si>
  <si>
    <t>consumtion</t>
  </si>
  <si>
    <t>active</t>
  </si>
  <si>
    <t>history</t>
  </si>
  <si>
    <t>Plyn - Garáže</t>
  </si>
  <si>
    <t>Plyn - Ředitelství</t>
  </si>
  <si>
    <t>Plyn - Vodáci dílna</t>
  </si>
  <si>
    <t>Plyn - Ubytovna</t>
  </si>
  <si>
    <t>Elektřina - ČOV</t>
  </si>
  <si>
    <t>Elektřina - Vodárna</t>
  </si>
  <si>
    <t>Elektřina - Ubytovny</t>
  </si>
  <si>
    <t>Elektřina - Vrátnice - Buňka</t>
  </si>
  <si>
    <t>Elektřina - Správní b.</t>
  </si>
  <si>
    <t>Elektřina - VO 1</t>
  </si>
  <si>
    <t>Elektřina - VO 2</t>
  </si>
  <si>
    <t>Elektřina - Vrátnice - Garáže</t>
  </si>
  <si>
    <t>no-reading</t>
  </si>
  <si>
    <t>loss</t>
  </si>
  <si>
    <t>Voda - ztráta</t>
  </si>
  <si>
    <t>Plyn - ztráta</t>
  </si>
  <si>
    <t>Elektřina - Kabely VN</t>
  </si>
  <si>
    <t>Elektřina - Měřící př.</t>
  </si>
  <si>
    <t>Elektřina - Stykače</t>
  </si>
  <si>
    <t>Elektřina - Přech. Odp.</t>
  </si>
  <si>
    <t>Elektřina - Jističe</t>
  </si>
  <si>
    <t>Elektřina - Kotelna</t>
  </si>
  <si>
    <t>Elektřina - Elektrodílna</t>
  </si>
  <si>
    <t>Elektřina - Světlo inst.</t>
  </si>
  <si>
    <t>Elektřina - Dílna údržby</t>
  </si>
  <si>
    <t>Elektřina - Dílna kotelna</t>
  </si>
  <si>
    <t>Elektřina - Motor inst.</t>
  </si>
  <si>
    <t>Elektřina - Bud. 51 - Kompr 1</t>
  </si>
  <si>
    <t>Elektřina - Bud. 51 - Kompr 2</t>
  </si>
  <si>
    <t>Elektřina - techn. Bud.</t>
  </si>
  <si>
    <t>Elektřina - trafo - HT110 110kV</t>
  </si>
  <si>
    <t>Elektřina - trafo - HT110 22kV</t>
  </si>
  <si>
    <t>Elektřina - trafo - HT22 22kV</t>
  </si>
  <si>
    <t>Elektřina - trafo - HT22</t>
  </si>
  <si>
    <t>Elektřina - trafo - PT1</t>
  </si>
  <si>
    <t>Elektřina - trafo - PT3</t>
  </si>
  <si>
    <t>Elektřina - trafo - PT4</t>
  </si>
  <si>
    <t>Elektřina - trafo - obj.5</t>
  </si>
  <si>
    <t>Elektřina - trafo - HT110</t>
  </si>
  <si>
    <t>readingId</t>
  </si>
  <si>
    <t>electricPurchase</t>
  </si>
  <si>
    <t>electricSold</t>
  </si>
  <si>
    <t>electricOwn</t>
  </si>
  <si>
    <t>electricLoss</t>
  </si>
  <si>
    <t>waterPurchase</t>
  </si>
  <si>
    <t>waterSold</t>
  </si>
  <si>
    <t>waterOwn</t>
  </si>
  <si>
    <t>gasPurchase</t>
  </si>
  <si>
    <t>gasSold</t>
  </si>
  <si>
    <t>gasOwn</t>
  </si>
  <si>
    <t>-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</si>
</sst>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theme="9" tint="0.79998168889431442"/>
      </patternFill>
    </fill>
  </fills>
  <borders count="7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/>
      <right/>
      <top style="thick">
        <color auto="1"/>
      </top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0" borderId="1" applyNumberFormat="0" applyFill="0" applyAlignment="0" applyProtection="0"/>
  </cellStyleXfs>
  <cellXfs count="22">
    <xf numFmtId="0" fontId="0" fillId="0" borderId="0" xfId="0"/>
    <xf numFmtId="0" fontId="0" fillId="5" borderId="2" xfId="0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5" borderId="3" xfId="0" applyFont="1" applyFill="1" applyBorder="1" applyAlignment="1">
      <alignment horizontal="center"/>
    </xf>
    <xf numFmtId="0" fontId="0" fillId="6" borderId="4" xfId="0" applyFont="1" applyFill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6" borderId="5" xfId="0" applyFont="1" applyFill="1" applyBorder="1" applyAlignment="1">
      <alignment horizontal="center"/>
    </xf>
    <xf numFmtId="10" fontId="0" fillId="6" borderId="5" xfId="0" applyNumberFormat="1" applyFont="1" applyFill="1" applyBorder="1" applyAlignment="1">
      <alignment horizontal="center"/>
    </xf>
    <xf numFmtId="10" fontId="0" fillId="0" borderId="5" xfId="0" applyNumberFormat="1" applyFont="1" applyBorder="1" applyAlignment="1">
      <alignment horizontal="center"/>
    </xf>
    <xf numFmtId="3" fontId="1" fillId="2" borderId="0" xfId="1" applyNumberFormat="1"/>
    <xf numFmtId="3" fontId="4" fillId="4" borderId="1" xfId="4" applyNumberFormat="1" applyFill="1"/>
    <xf numFmtId="3" fontId="0" fillId="0" borderId="0" xfId="0" applyNumberFormat="1"/>
    <xf numFmtId="3" fontId="3" fillId="4" borderId="0" xfId="3" applyNumberFormat="1"/>
    <xf numFmtId="3" fontId="4" fillId="2" borderId="1" xfId="4" applyNumberFormat="1" applyFill="1"/>
    <xf numFmtId="3" fontId="2" fillId="3" borderId="0" xfId="2" quotePrefix="1" applyNumberFormat="1" applyAlignment="1">
      <alignment horizontal="center"/>
    </xf>
    <xf numFmtId="0" fontId="3" fillId="4" borderId="0" xfId="3"/>
    <xf numFmtId="0" fontId="4" fillId="4" borderId="1" xfId="4" applyFill="1"/>
    <xf numFmtId="0" fontId="1" fillId="2" borderId="0" xfId="1"/>
    <xf numFmtId="0" fontId="4" fillId="2" borderId="1" xfId="4" applyFill="1"/>
    <xf numFmtId="3" fontId="3" fillId="4" borderId="6" xfId="3" applyNumberFormat="1" applyBorder="1"/>
    <xf numFmtId="3" fontId="3" fillId="4" borderId="0" xfId="3" applyNumberFormat="1" applyBorder="1"/>
    <xf numFmtId="3" fontId="3" fillId="4" borderId="1" xfId="3" applyNumberFormat="1" applyBorder="1"/>
  </cellXfs>
  <cellStyles count="5">
    <cellStyle name="Chybně" xfId="2" builtinId="27"/>
    <cellStyle name="Neutrální" xfId="3" builtinId="28"/>
    <cellStyle name="normální" xfId="0" builtinId="0"/>
    <cellStyle name="Propojená buňka" xfId="4" builtinId="24"/>
    <cellStyle name="Správně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44"/>
  <sheetViews>
    <sheetView workbookViewId="0">
      <selection activeCell="E16" sqref="E16"/>
    </sheetView>
  </sheetViews>
  <sheetFormatPr defaultRowHeight="15"/>
  <cols>
    <col min="2" max="2" width="11.42578125" bestFit="1" customWidth="1"/>
    <col min="3" max="3" width="12.7109375" bestFit="1" customWidth="1"/>
    <col min="4" max="4" width="12.7109375" customWidth="1"/>
    <col min="5" max="5" width="27.85546875" bestFit="1" customWidth="1"/>
    <col min="8" max="8" width="11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>
      <c r="A2">
        <v>1</v>
      </c>
      <c r="B2" t="s">
        <v>16</v>
      </c>
      <c r="C2" t="s">
        <v>15</v>
      </c>
      <c r="D2" t="s">
        <v>17</v>
      </c>
      <c r="E2" t="s">
        <v>8</v>
      </c>
      <c r="F2">
        <v>167</v>
      </c>
      <c r="G2">
        <v>10</v>
      </c>
    </row>
    <row r="3" spans="1:8">
      <c r="A3">
        <v>2</v>
      </c>
      <c r="B3" t="s">
        <v>16</v>
      </c>
      <c r="C3" t="s">
        <v>14</v>
      </c>
      <c r="D3" t="s">
        <v>18</v>
      </c>
      <c r="E3" t="s">
        <v>9</v>
      </c>
      <c r="G3">
        <v>10</v>
      </c>
    </row>
    <row r="4" spans="1:8">
      <c r="A4">
        <v>3</v>
      </c>
      <c r="B4" t="s">
        <v>16</v>
      </c>
      <c r="C4" t="s">
        <v>14</v>
      </c>
      <c r="D4" t="s">
        <v>18</v>
      </c>
      <c r="E4" t="s">
        <v>10</v>
      </c>
      <c r="G4">
        <v>10</v>
      </c>
    </row>
    <row r="5" spans="1:8">
      <c r="A5">
        <v>4</v>
      </c>
      <c r="B5" t="s">
        <v>16</v>
      </c>
      <c r="C5" t="s">
        <v>15</v>
      </c>
      <c r="D5" t="s">
        <v>17</v>
      </c>
      <c r="E5" t="s">
        <v>11</v>
      </c>
      <c r="F5">
        <v>211</v>
      </c>
      <c r="G5">
        <v>10</v>
      </c>
    </row>
    <row r="6" spans="1:8">
      <c r="A6">
        <v>5</v>
      </c>
      <c r="B6" t="s">
        <v>16</v>
      </c>
      <c r="C6" t="s">
        <v>14</v>
      </c>
      <c r="D6" t="s">
        <v>18</v>
      </c>
      <c r="E6" t="s">
        <v>12</v>
      </c>
      <c r="G6">
        <v>10</v>
      </c>
    </row>
    <row r="7" spans="1:8">
      <c r="A7">
        <v>6</v>
      </c>
      <c r="B7" t="s">
        <v>16</v>
      </c>
      <c r="C7" t="s">
        <v>14</v>
      </c>
      <c r="D7" t="s">
        <v>17</v>
      </c>
      <c r="E7" t="s">
        <v>13</v>
      </c>
      <c r="G7">
        <v>10</v>
      </c>
    </row>
    <row r="8" spans="1:8">
      <c r="A8">
        <v>7</v>
      </c>
      <c r="B8" t="s">
        <v>32</v>
      </c>
      <c r="C8" t="s">
        <v>31</v>
      </c>
      <c r="D8" t="s">
        <v>17</v>
      </c>
      <c r="E8" t="s">
        <v>33</v>
      </c>
      <c r="G8">
        <v>10</v>
      </c>
    </row>
    <row r="9" spans="1:8">
      <c r="A9">
        <v>8</v>
      </c>
      <c r="B9" t="s">
        <v>16</v>
      </c>
      <c r="C9" t="s">
        <v>15</v>
      </c>
      <c r="D9" t="s">
        <v>17</v>
      </c>
      <c r="E9" t="s">
        <v>19</v>
      </c>
      <c r="F9">
        <v>174</v>
      </c>
      <c r="G9">
        <v>11</v>
      </c>
    </row>
    <row r="10" spans="1:8">
      <c r="A10">
        <v>9</v>
      </c>
      <c r="B10" t="s">
        <v>16</v>
      </c>
      <c r="C10" t="s">
        <v>15</v>
      </c>
      <c r="D10" t="s">
        <v>17</v>
      </c>
      <c r="E10" t="s">
        <v>20</v>
      </c>
      <c r="F10">
        <v>175</v>
      </c>
      <c r="G10">
        <v>11</v>
      </c>
    </row>
    <row r="11" spans="1:8">
      <c r="A11">
        <v>10</v>
      </c>
      <c r="B11" t="s">
        <v>16</v>
      </c>
      <c r="C11" t="s">
        <v>15</v>
      </c>
      <c r="D11" t="s">
        <v>17</v>
      </c>
      <c r="E11" t="s">
        <v>21</v>
      </c>
      <c r="F11">
        <v>213</v>
      </c>
      <c r="G11">
        <v>11</v>
      </c>
    </row>
    <row r="12" spans="1:8">
      <c r="A12">
        <v>11</v>
      </c>
      <c r="B12" t="s">
        <v>16</v>
      </c>
      <c r="C12" t="s">
        <v>14</v>
      </c>
      <c r="D12" t="s">
        <v>18</v>
      </c>
      <c r="E12" t="s">
        <v>22</v>
      </c>
      <c r="G12">
        <v>11</v>
      </c>
    </row>
    <row r="13" spans="1:8">
      <c r="A13">
        <v>12</v>
      </c>
      <c r="B13" t="s">
        <v>32</v>
      </c>
      <c r="C13" t="s">
        <v>31</v>
      </c>
      <c r="D13" t="s">
        <v>17</v>
      </c>
      <c r="E13" t="s">
        <v>34</v>
      </c>
      <c r="G13">
        <v>11</v>
      </c>
    </row>
    <row r="14" spans="1:8">
      <c r="A14">
        <v>13</v>
      </c>
      <c r="B14" t="s">
        <v>16</v>
      </c>
      <c r="C14" t="s">
        <v>15</v>
      </c>
      <c r="D14" t="s">
        <v>17</v>
      </c>
      <c r="E14" t="s">
        <v>23</v>
      </c>
      <c r="F14">
        <v>7</v>
      </c>
      <c r="G14">
        <v>7</v>
      </c>
    </row>
    <row r="15" spans="1:8">
      <c r="A15">
        <v>14</v>
      </c>
      <c r="B15" t="s">
        <v>16</v>
      </c>
      <c r="C15" t="s">
        <v>15</v>
      </c>
      <c r="D15" t="s">
        <v>17</v>
      </c>
      <c r="E15" t="s">
        <v>24</v>
      </c>
      <c r="F15">
        <v>20</v>
      </c>
      <c r="G15">
        <v>4</v>
      </c>
    </row>
    <row r="16" spans="1:8">
      <c r="A16">
        <v>15</v>
      </c>
      <c r="B16" t="s">
        <v>16</v>
      </c>
      <c r="C16" t="s">
        <v>14</v>
      </c>
      <c r="D16" t="s">
        <v>18</v>
      </c>
      <c r="E16" t="s">
        <v>25</v>
      </c>
      <c r="G16">
        <v>1</v>
      </c>
    </row>
    <row r="17" spans="1:7">
      <c r="A17">
        <v>16</v>
      </c>
      <c r="B17" t="s">
        <v>16</v>
      </c>
      <c r="C17" t="s">
        <v>15</v>
      </c>
      <c r="D17" t="s">
        <v>17</v>
      </c>
      <c r="E17" t="s">
        <v>26</v>
      </c>
      <c r="F17">
        <v>28</v>
      </c>
      <c r="G17">
        <v>9</v>
      </c>
    </row>
    <row r="18" spans="1:7">
      <c r="A18">
        <v>17</v>
      </c>
      <c r="B18" t="s">
        <v>16</v>
      </c>
      <c r="C18" t="s">
        <v>15</v>
      </c>
      <c r="D18" t="s">
        <v>17</v>
      </c>
      <c r="E18" t="s">
        <v>30</v>
      </c>
      <c r="F18">
        <v>27</v>
      </c>
      <c r="G18">
        <v>9</v>
      </c>
    </row>
    <row r="19" spans="1:7">
      <c r="A19">
        <v>18</v>
      </c>
      <c r="B19" t="s">
        <v>16</v>
      </c>
      <c r="C19" t="s">
        <v>15</v>
      </c>
      <c r="D19" t="s">
        <v>17</v>
      </c>
      <c r="E19" t="s">
        <v>27</v>
      </c>
      <c r="F19">
        <v>3</v>
      </c>
      <c r="G19">
        <v>6</v>
      </c>
    </row>
    <row r="20" spans="1:7">
      <c r="A20">
        <v>19</v>
      </c>
      <c r="B20" t="s">
        <v>16</v>
      </c>
      <c r="C20" t="s">
        <v>15</v>
      </c>
      <c r="D20" t="s">
        <v>17</v>
      </c>
      <c r="E20" t="s">
        <v>28</v>
      </c>
      <c r="F20">
        <v>60</v>
      </c>
      <c r="G20">
        <v>9</v>
      </c>
    </row>
    <row r="21" spans="1:7">
      <c r="A21">
        <v>20</v>
      </c>
      <c r="B21" t="s">
        <v>16</v>
      </c>
      <c r="C21" t="s">
        <v>15</v>
      </c>
      <c r="D21" t="s">
        <v>17</v>
      </c>
      <c r="E21" t="s">
        <v>29</v>
      </c>
      <c r="F21">
        <v>61</v>
      </c>
      <c r="G21">
        <v>6</v>
      </c>
    </row>
    <row r="22" spans="1:7">
      <c r="A22">
        <v>21</v>
      </c>
      <c r="B22" t="s">
        <v>32</v>
      </c>
      <c r="C22" t="s">
        <v>31</v>
      </c>
      <c r="D22" t="s">
        <v>17</v>
      </c>
      <c r="E22" t="s">
        <v>35</v>
      </c>
      <c r="G22">
        <v>1</v>
      </c>
    </row>
    <row r="23" spans="1:7">
      <c r="A23">
        <v>22</v>
      </c>
      <c r="B23" t="s">
        <v>32</v>
      </c>
      <c r="C23" t="s">
        <v>31</v>
      </c>
      <c r="D23" t="s">
        <v>17</v>
      </c>
      <c r="E23" t="s">
        <v>36</v>
      </c>
      <c r="G23">
        <v>1</v>
      </c>
    </row>
    <row r="24" spans="1:7">
      <c r="A24">
        <v>23</v>
      </c>
      <c r="B24" t="s">
        <v>32</v>
      </c>
      <c r="C24" t="s">
        <v>31</v>
      </c>
      <c r="D24" t="s">
        <v>17</v>
      </c>
      <c r="E24" t="s">
        <v>37</v>
      </c>
      <c r="G24">
        <v>1</v>
      </c>
    </row>
    <row r="25" spans="1:7">
      <c r="A25">
        <v>24</v>
      </c>
      <c r="B25" t="s">
        <v>32</v>
      </c>
      <c r="C25" t="s">
        <v>31</v>
      </c>
      <c r="D25" t="s">
        <v>17</v>
      </c>
      <c r="E25" t="s">
        <v>38</v>
      </c>
      <c r="G25">
        <v>1</v>
      </c>
    </row>
    <row r="26" spans="1:7">
      <c r="A26">
        <v>25</v>
      </c>
      <c r="B26" t="s">
        <v>32</v>
      </c>
      <c r="C26" t="s">
        <v>31</v>
      </c>
      <c r="D26" t="s">
        <v>17</v>
      </c>
      <c r="E26" t="s">
        <v>39</v>
      </c>
      <c r="G26">
        <v>1</v>
      </c>
    </row>
    <row r="27" spans="1:7">
      <c r="A27">
        <v>26</v>
      </c>
      <c r="B27" t="s">
        <v>32</v>
      </c>
      <c r="C27" t="s">
        <v>14</v>
      </c>
      <c r="D27" t="s">
        <v>18</v>
      </c>
      <c r="E27" t="s">
        <v>40</v>
      </c>
      <c r="G27">
        <v>1</v>
      </c>
    </row>
    <row r="28" spans="1:7">
      <c r="A28">
        <v>27</v>
      </c>
      <c r="B28" t="s">
        <v>32</v>
      </c>
      <c r="C28" t="s">
        <v>31</v>
      </c>
      <c r="D28" t="s">
        <v>17</v>
      </c>
      <c r="E28" t="s">
        <v>41</v>
      </c>
      <c r="G28">
        <v>1</v>
      </c>
    </row>
    <row r="29" spans="1:7">
      <c r="A29">
        <v>28</v>
      </c>
      <c r="B29" t="s">
        <v>32</v>
      </c>
      <c r="C29" t="s">
        <v>31</v>
      </c>
      <c r="D29" t="s">
        <v>17</v>
      </c>
      <c r="E29" t="s">
        <v>42</v>
      </c>
      <c r="G29">
        <v>1</v>
      </c>
    </row>
    <row r="30" spans="1:7">
      <c r="A30">
        <v>29</v>
      </c>
      <c r="B30" t="s">
        <v>32</v>
      </c>
      <c r="C30" t="s">
        <v>31</v>
      </c>
      <c r="D30" t="s">
        <v>17</v>
      </c>
      <c r="E30" t="s">
        <v>43</v>
      </c>
      <c r="G30">
        <v>1</v>
      </c>
    </row>
    <row r="31" spans="1:7">
      <c r="A31">
        <v>30</v>
      </c>
      <c r="B31" t="s">
        <v>32</v>
      </c>
      <c r="C31" t="s">
        <v>31</v>
      </c>
      <c r="D31" t="s">
        <v>17</v>
      </c>
      <c r="E31" t="s">
        <v>44</v>
      </c>
      <c r="G31">
        <v>1</v>
      </c>
    </row>
    <row r="32" spans="1:7">
      <c r="A32">
        <v>31</v>
      </c>
      <c r="B32" t="s">
        <v>32</v>
      </c>
      <c r="C32" t="s">
        <v>31</v>
      </c>
      <c r="D32" t="s">
        <v>17</v>
      </c>
      <c r="E32" t="s">
        <v>45</v>
      </c>
      <c r="G32">
        <v>1</v>
      </c>
    </row>
    <row r="33" spans="1:7">
      <c r="A33">
        <v>32</v>
      </c>
      <c r="B33" t="s">
        <v>32</v>
      </c>
      <c r="C33" t="s">
        <v>31</v>
      </c>
      <c r="D33" t="s">
        <v>17</v>
      </c>
      <c r="E33" t="s">
        <v>46</v>
      </c>
      <c r="F33">
        <v>5</v>
      </c>
      <c r="G33">
        <v>6</v>
      </c>
    </row>
    <row r="34" spans="1:7">
      <c r="A34">
        <v>33</v>
      </c>
      <c r="B34" t="s">
        <v>32</v>
      </c>
      <c r="C34" t="s">
        <v>31</v>
      </c>
      <c r="D34" t="s">
        <v>17</v>
      </c>
      <c r="E34" t="s">
        <v>47</v>
      </c>
      <c r="F34">
        <v>55</v>
      </c>
      <c r="G34">
        <v>6</v>
      </c>
    </row>
    <row r="35" spans="1:7">
      <c r="A35">
        <v>34</v>
      </c>
      <c r="B35" t="s">
        <v>32</v>
      </c>
      <c r="C35" t="s">
        <v>31</v>
      </c>
      <c r="D35" t="s">
        <v>17</v>
      </c>
      <c r="E35" t="s">
        <v>48</v>
      </c>
      <c r="G35">
        <v>1</v>
      </c>
    </row>
    <row r="36" spans="1:7">
      <c r="A36">
        <v>35</v>
      </c>
      <c r="B36" t="s">
        <v>32</v>
      </c>
      <c r="C36" t="s">
        <v>31</v>
      </c>
      <c r="D36" t="s">
        <v>17</v>
      </c>
      <c r="E36" t="s">
        <v>49</v>
      </c>
      <c r="G36">
        <v>1</v>
      </c>
    </row>
    <row r="37" spans="1:7">
      <c r="A37">
        <v>36</v>
      </c>
      <c r="B37" t="s">
        <v>32</v>
      </c>
      <c r="C37" t="s">
        <v>31</v>
      </c>
      <c r="D37" t="s">
        <v>17</v>
      </c>
      <c r="E37" t="s">
        <v>50</v>
      </c>
      <c r="G37">
        <v>2</v>
      </c>
    </row>
    <row r="38" spans="1:7">
      <c r="A38">
        <v>37</v>
      </c>
      <c r="B38" t="s">
        <v>32</v>
      </c>
      <c r="C38" t="s">
        <v>31</v>
      </c>
      <c r="D38" t="s">
        <v>17</v>
      </c>
      <c r="E38" t="s">
        <v>57</v>
      </c>
      <c r="G38">
        <v>4</v>
      </c>
    </row>
    <row r="39" spans="1:7">
      <c r="A39">
        <v>38</v>
      </c>
      <c r="B39" t="s">
        <v>32</v>
      </c>
      <c r="C39" t="s">
        <v>31</v>
      </c>
      <c r="D39" t="s">
        <v>17</v>
      </c>
      <c r="E39" t="s">
        <v>51</v>
      </c>
      <c r="G39">
        <v>5</v>
      </c>
    </row>
    <row r="40" spans="1:7">
      <c r="A40">
        <v>39</v>
      </c>
      <c r="B40" t="s">
        <v>32</v>
      </c>
      <c r="C40" t="s">
        <v>31</v>
      </c>
      <c r="D40" t="s">
        <v>17</v>
      </c>
      <c r="E40" t="s">
        <v>52</v>
      </c>
      <c r="G40">
        <v>9</v>
      </c>
    </row>
    <row r="41" spans="1:7">
      <c r="A41">
        <v>40</v>
      </c>
      <c r="B41" t="s">
        <v>32</v>
      </c>
      <c r="C41" t="s">
        <v>31</v>
      </c>
      <c r="D41" t="s">
        <v>17</v>
      </c>
      <c r="E41" t="s">
        <v>53</v>
      </c>
      <c r="G41">
        <v>6</v>
      </c>
    </row>
    <row r="42" spans="1:7">
      <c r="A42">
        <v>41</v>
      </c>
      <c r="B42" t="s">
        <v>32</v>
      </c>
      <c r="C42" t="s">
        <v>31</v>
      </c>
      <c r="D42" t="s">
        <v>17</v>
      </c>
      <c r="E42" t="s">
        <v>54</v>
      </c>
      <c r="G42">
        <v>7</v>
      </c>
    </row>
    <row r="43" spans="1:7">
      <c r="A43">
        <v>42</v>
      </c>
      <c r="B43" t="s">
        <v>32</v>
      </c>
      <c r="C43" t="s">
        <v>31</v>
      </c>
      <c r="D43" t="s">
        <v>17</v>
      </c>
      <c r="E43" t="s">
        <v>55</v>
      </c>
      <c r="G43">
        <v>8</v>
      </c>
    </row>
    <row r="44" spans="1:7">
      <c r="A44">
        <v>43</v>
      </c>
      <c r="B44" t="s">
        <v>32</v>
      </c>
      <c r="C44" t="s">
        <v>31</v>
      </c>
      <c r="D44" t="s">
        <v>18</v>
      </c>
      <c r="E44" t="s">
        <v>56</v>
      </c>
      <c r="G44">
        <v>1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H117"/>
  <sheetViews>
    <sheetView tabSelected="1" workbookViewId="0">
      <selection activeCell="D1" sqref="D1"/>
    </sheetView>
  </sheetViews>
  <sheetFormatPr defaultRowHeight="15"/>
  <cols>
    <col min="1" max="1" width="10.42578125" bestFit="1" customWidth="1"/>
    <col min="2" max="11" width="10.42578125" customWidth="1"/>
  </cols>
  <sheetData>
    <row r="1" spans="1:60">
      <c r="A1" t="s">
        <v>58</v>
      </c>
      <c r="B1" t="s">
        <v>59</v>
      </c>
      <c r="C1" t="s">
        <v>60</v>
      </c>
      <c r="D1" t="s">
        <v>61</v>
      </c>
      <c r="E1" t="s">
        <v>62</v>
      </c>
      <c r="F1" t="s">
        <v>63</v>
      </c>
      <c r="G1" t="s">
        <v>64</v>
      </c>
      <c r="H1" t="s">
        <v>65</v>
      </c>
      <c r="I1" t="s">
        <v>66</v>
      </c>
      <c r="J1" t="s">
        <v>67</v>
      </c>
      <c r="K1" t="s">
        <v>68</v>
      </c>
      <c r="L1">
        <v>1</v>
      </c>
      <c r="M1">
        <v>2</v>
      </c>
      <c r="N1">
        <v>3</v>
      </c>
      <c r="O1">
        <v>4</v>
      </c>
      <c r="P1">
        <v>5</v>
      </c>
      <c r="Q1">
        <v>6</v>
      </c>
      <c r="R1">
        <v>7</v>
      </c>
      <c r="S1">
        <v>8</v>
      </c>
      <c r="T1">
        <v>9</v>
      </c>
      <c r="U1">
        <v>10</v>
      </c>
      <c r="V1">
        <v>11</v>
      </c>
      <c r="W1">
        <v>12</v>
      </c>
      <c r="X1">
        <v>13</v>
      </c>
      <c r="Y1">
        <v>14</v>
      </c>
      <c r="Z1">
        <v>15</v>
      </c>
      <c r="AA1">
        <v>16</v>
      </c>
      <c r="AB1">
        <v>17</v>
      </c>
      <c r="AC1">
        <v>18</v>
      </c>
      <c r="AD1">
        <v>19</v>
      </c>
      <c r="AE1">
        <v>20</v>
      </c>
      <c r="AF1">
        <v>21</v>
      </c>
      <c r="AG1">
        <v>22</v>
      </c>
      <c r="AH1">
        <v>23</v>
      </c>
      <c r="AI1">
        <v>24</v>
      </c>
      <c r="AJ1">
        <v>25</v>
      </c>
      <c r="AK1">
        <v>26</v>
      </c>
      <c r="AL1">
        <v>27</v>
      </c>
      <c r="AM1">
        <v>28</v>
      </c>
      <c r="AN1">
        <v>29</v>
      </c>
      <c r="AO1">
        <v>30</v>
      </c>
      <c r="AP1">
        <v>31</v>
      </c>
      <c r="AQ1">
        <v>32</v>
      </c>
      <c r="AR1">
        <v>33</v>
      </c>
      <c r="AS1">
        <v>34</v>
      </c>
      <c r="AT1">
        <v>35</v>
      </c>
      <c r="AU1">
        <v>36</v>
      </c>
      <c r="AV1">
        <v>37</v>
      </c>
      <c r="AW1">
        <v>38</v>
      </c>
      <c r="AX1">
        <v>39</v>
      </c>
      <c r="AY1">
        <v>40</v>
      </c>
      <c r="AZ1">
        <v>41</v>
      </c>
      <c r="BA1">
        <v>42</v>
      </c>
      <c r="BB1">
        <v>43</v>
      </c>
      <c r="BC1">
        <v>44</v>
      </c>
      <c r="BD1">
        <v>45</v>
      </c>
      <c r="BE1">
        <v>46</v>
      </c>
      <c r="BF1">
        <v>47</v>
      </c>
      <c r="BG1">
        <v>48</v>
      </c>
      <c r="BH1">
        <v>49</v>
      </c>
    </row>
    <row r="2" spans="1:60">
      <c r="A2">
        <v>1</v>
      </c>
      <c r="B2">
        <v>1387210</v>
      </c>
      <c r="C2">
        <v>1220617</v>
      </c>
      <c r="D2">
        <v>15820</v>
      </c>
      <c r="E2">
        <v>138783.53220470183</v>
      </c>
      <c r="X2" s="9">
        <v>1110</v>
      </c>
      <c r="Y2" s="12">
        <v>5500</v>
      </c>
      <c r="Z2" s="12">
        <v>2300</v>
      </c>
      <c r="AA2" s="14" t="s">
        <v>69</v>
      </c>
      <c r="AB2" s="14" t="s">
        <v>69</v>
      </c>
      <c r="AC2" s="12">
        <v>1400</v>
      </c>
      <c r="AD2" s="12">
        <f>30*8*19</f>
        <v>4560</v>
      </c>
      <c r="AF2" s="15">
        <f t="shared" ref="AF2:AF115" si="0">870+970</f>
        <v>1840</v>
      </c>
      <c r="AG2" s="15">
        <v>200</v>
      </c>
      <c r="AH2" s="12">
        <v>2000</v>
      </c>
      <c r="AI2" s="12">
        <v>50</v>
      </c>
      <c r="AJ2" s="12">
        <v>110</v>
      </c>
      <c r="AK2" s="9">
        <v>36059</v>
      </c>
      <c r="AL2" s="15">
        <v>500</v>
      </c>
      <c r="AM2" s="15">
        <v>150</v>
      </c>
      <c r="AN2" s="15">
        <v>600</v>
      </c>
      <c r="AO2" s="15">
        <v>300</v>
      </c>
      <c r="AP2" s="15">
        <v>300</v>
      </c>
      <c r="AQ2" s="17">
        <v>0</v>
      </c>
      <c r="AS2">
        <v>800</v>
      </c>
      <c r="AT2" s="12">
        <f t="shared" ref="AT2:AT22" si="1">(42*24*31)+(121.8*((((BJ2/31)/24)/16000)^2)*(24*31))</f>
        <v>31248</v>
      </c>
      <c r="AU2" s="12"/>
      <c r="AW2" s="12"/>
      <c r="AX2" s="12">
        <f t="shared" ref="AX2:AX22" si="2">(3.9*24*31)+(17.9*((((BF2/31)/24)/1000)^2)*(24*31))</f>
        <v>2910.3494646639783</v>
      </c>
      <c r="AY2" s="12">
        <f t="shared" ref="AY2:AY34" si="3">(3.6*24*31)+(17.9*((((BG2/31)/24)/1000)^2)*(24*31))</f>
        <v>2678.4</v>
      </c>
      <c r="AZ2" s="12">
        <f t="shared" ref="AZ2:AZ6" si="4">3*((4.3*24*31)+(21*(((((BH2/3)/31)/24)/1250)^2)*(24*31)))</f>
        <v>9597.5999999999985</v>
      </c>
      <c r="BA2" s="12">
        <f t="shared" ref="BA2:BA22" si="5">(3.6*24*31)+(17.9*((((BI2/31)/24)/1000)^2)*(24*31))</f>
        <v>2678.4</v>
      </c>
      <c r="BB2" s="12">
        <f t="shared" ref="BB2:BB16" si="6">(1.36*24*31)+(4.45*((((BJ2/31)/24)/250)^2)*(24*31))</f>
        <v>1011.84</v>
      </c>
      <c r="BC2">
        <v>200</v>
      </c>
      <c r="BD2" s="12">
        <v>5000</v>
      </c>
      <c r="BE2" s="12">
        <f t="shared" ref="BE2:BE22" si="7">5*380</f>
        <v>1900</v>
      </c>
      <c r="BF2" s="12">
        <v>19070</v>
      </c>
    </row>
    <row r="3" spans="1:60">
      <c r="A3">
        <v>2</v>
      </c>
      <c r="B3">
        <v>1483053</v>
      </c>
      <c r="C3">
        <v>1281251</v>
      </c>
      <c r="D3">
        <v>19426</v>
      </c>
      <c r="E3">
        <v>164617.31130282563</v>
      </c>
      <c r="X3" s="9">
        <v>2736</v>
      </c>
      <c r="Y3" s="12">
        <v>5500</v>
      </c>
      <c r="Z3" s="12">
        <v>2300</v>
      </c>
      <c r="AA3" s="14" t="s">
        <v>69</v>
      </c>
      <c r="AB3" s="14" t="s">
        <v>69</v>
      </c>
      <c r="AC3" s="12">
        <v>1500</v>
      </c>
      <c r="AD3" s="12">
        <f>31*10*19</f>
        <v>5890</v>
      </c>
      <c r="AF3" s="15">
        <f t="shared" si="0"/>
        <v>1840</v>
      </c>
      <c r="AG3" s="15">
        <v>200</v>
      </c>
      <c r="AH3" s="12">
        <v>2000</v>
      </c>
      <c r="AI3" s="12">
        <v>50</v>
      </c>
      <c r="AJ3" s="12">
        <v>110</v>
      </c>
      <c r="AK3" s="9">
        <v>47540</v>
      </c>
      <c r="AL3" s="15">
        <v>500</v>
      </c>
      <c r="AM3" s="15">
        <v>220</v>
      </c>
      <c r="AN3" s="15">
        <v>800</v>
      </c>
      <c r="AO3" s="15">
        <v>300</v>
      </c>
      <c r="AP3" s="15">
        <v>400</v>
      </c>
      <c r="AQ3" s="17">
        <v>0</v>
      </c>
      <c r="AS3">
        <v>800</v>
      </c>
      <c r="AT3" s="12">
        <f t="shared" si="1"/>
        <v>31248</v>
      </c>
      <c r="AU3" s="12"/>
      <c r="AW3" s="12"/>
      <c r="AX3" s="12">
        <f t="shared" si="2"/>
        <v>2919.1651063978493</v>
      </c>
      <c r="AY3" s="12">
        <f t="shared" si="3"/>
        <v>2678.4</v>
      </c>
      <c r="AZ3" s="12">
        <f t="shared" si="4"/>
        <v>9597.5999999999985</v>
      </c>
      <c r="BA3" s="12">
        <f t="shared" si="5"/>
        <v>2678.4</v>
      </c>
      <c r="BB3" s="12">
        <f t="shared" si="6"/>
        <v>1011.84</v>
      </c>
      <c r="BC3">
        <v>320</v>
      </c>
      <c r="BD3" s="12">
        <v>10000</v>
      </c>
      <c r="BE3" s="12">
        <f t="shared" si="7"/>
        <v>1900</v>
      </c>
      <c r="BF3" s="12">
        <v>27020</v>
      </c>
    </row>
    <row r="4" spans="1:60">
      <c r="A4">
        <v>3</v>
      </c>
      <c r="B4">
        <v>1507203</v>
      </c>
      <c r="C4">
        <v>1281617</v>
      </c>
      <c r="D4">
        <v>21403</v>
      </c>
      <c r="E4">
        <v>186553.97250840979</v>
      </c>
      <c r="X4" s="9">
        <v>3093</v>
      </c>
      <c r="Y4" s="12">
        <v>5500</v>
      </c>
      <c r="Z4" s="12">
        <v>2300</v>
      </c>
      <c r="AA4" s="14" t="s">
        <v>69</v>
      </c>
      <c r="AB4" s="14" t="s">
        <v>69</v>
      </c>
      <c r="AC4" s="12">
        <v>1600</v>
      </c>
      <c r="AD4" s="12">
        <f>30*13*19</f>
        <v>7410</v>
      </c>
      <c r="AF4" s="15">
        <f t="shared" si="0"/>
        <v>1840</v>
      </c>
      <c r="AG4" s="15">
        <v>200</v>
      </c>
      <c r="AH4" s="12">
        <v>2000</v>
      </c>
      <c r="AI4" s="12">
        <v>50</v>
      </c>
      <c r="AJ4" s="12">
        <v>110</v>
      </c>
      <c r="AK4" s="9">
        <v>63994</v>
      </c>
      <c r="AL4" s="15">
        <v>500</v>
      </c>
      <c r="AM4" s="15">
        <v>230</v>
      </c>
      <c r="AN4" s="15">
        <v>800</v>
      </c>
      <c r="AO4" s="15">
        <v>400</v>
      </c>
      <c r="AP4" s="15">
        <v>400</v>
      </c>
      <c r="AQ4" s="17">
        <v>0</v>
      </c>
      <c r="AS4">
        <v>800</v>
      </c>
      <c r="AT4" s="12">
        <f t="shared" si="1"/>
        <v>31248</v>
      </c>
      <c r="AU4" s="12"/>
      <c r="AW4" s="12"/>
      <c r="AX4" s="12">
        <f t="shared" si="2"/>
        <v>2927.200474139785</v>
      </c>
      <c r="AY4" s="12">
        <f t="shared" si="3"/>
        <v>2678.4</v>
      </c>
      <c r="AZ4" s="12">
        <f t="shared" si="4"/>
        <v>9597.5999999999985</v>
      </c>
      <c r="BA4" s="12">
        <f t="shared" si="5"/>
        <v>2678.4</v>
      </c>
      <c r="BB4" s="12">
        <f t="shared" si="6"/>
        <v>1011.84</v>
      </c>
      <c r="BC4">
        <v>360</v>
      </c>
      <c r="BD4" s="12">
        <v>10000</v>
      </c>
      <c r="BE4" s="12">
        <f t="shared" si="7"/>
        <v>1900</v>
      </c>
      <c r="BF4" s="12">
        <v>32620</v>
      </c>
    </row>
    <row r="5" spans="1:60">
      <c r="A5">
        <v>4</v>
      </c>
      <c r="B5">
        <v>1216712</v>
      </c>
      <c r="C5">
        <v>970418</v>
      </c>
      <c r="D5">
        <v>21715</v>
      </c>
      <c r="E5">
        <v>208862.15410717705</v>
      </c>
      <c r="X5" s="9">
        <v>3405</v>
      </c>
      <c r="Y5" s="12">
        <v>5500</v>
      </c>
      <c r="Z5" s="12">
        <v>2300</v>
      </c>
      <c r="AA5" s="14" t="s">
        <v>69</v>
      </c>
      <c r="AB5" s="14" t="s">
        <v>69</v>
      </c>
      <c r="AC5" s="12">
        <v>1600</v>
      </c>
      <c r="AD5" s="12">
        <f>30*13*19</f>
        <v>7410</v>
      </c>
      <c r="AF5" s="15">
        <f t="shared" si="0"/>
        <v>1840</v>
      </c>
      <c r="AG5" s="15">
        <v>200</v>
      </c>
      <c r="AH5" s="12">
        <v>2000</v>
      </c>
      <c r="AI5" s="12">
        <v>50</v>
      </c>
      <c r="AJ5" s="12">
        <v>110</v>
      </c>
      <c r="AK5" s="9">
        <v>87074</v>
      </c>
      <c r="AL5" s="15">
        <v>500</v>
      </c>
      <c r="AM5" s="15">
        <v>230</v>
      </c>
      <c r="AN5" s="15">
        <v>1200</v>
      </c>
      <c r="AO5" s="15">
        <v>400</v>
      </c>
      <c r="AP5" s="15">
        <v>400</v>
      </c>
      <c r="AQ5" s="17">
        <v>0</v>
      </c>
      <c r="AS5">
        <v>800</v>
      </c>
      <c r="AT5" s="12">
        <f t="shared" si="1"/>
        <v>31248</v>
      </c>
      <c r="AU5" s="12"/>
      <c r="AW5" s="12"/>
      <c r="AX5" s="12">
        <f t="shared" si="2"/>
        <v>2928.7941515591397</v>
      </c>
      <c r="AY5" s="12">
        <f t="shared" si="3"/>
        <v>2678.4</v>
      </c>
      <c r="AZ5" s="12">
        <f t="shared" si="4"/>
        <v>9597.5999999999985</v>
      </c>
      <c r="BA5" s="12">
        <f t="shared" si="5"/>
        <v>2678.4</v>
      </c>
      <c r="BB5" s="12">
        <f t="shared" si="6"/>
        <v>1011.84</v>
      </c>
      <c r="BC5">
        <v>400</v>
      </c>
      <c r="BD5" s="12">
        <v>11000</v>
      </c>
      <c r="BE5" s="12">
        <f t="shared" si="7"/>
        <v>1900</v>
      </c>
      <c r="BF5" s="12">
        <v>33620</v>
      </c>
    </row>
    <row r="6" spans="1:60">
      <c r="A6">
        <v>5</v>
      </c>
      <c r="B6">
        <v>1507170</v>
      </c>
      <c r="C6">
        <v>1270243</v>
      </c>
      <c r="D6">
        <v>21334</v>
      </c>
      <c r="E6">
        <v>198795.14730946813</v>
      </c>
      <c r="X6" s="9">
        <v>3024</v>
      </c>
      <c r="Y6" s="12">
        <v>5500</v>
      </c>
      <c r="Z6" s="12">
        <v>2300</v>
      </c>
      <c r="AA6" s="14" t="s">
        <v>69</v>
      </c>
      <c r="AB6" s="14" t="s">
        <v>69</v>
      </c>
      <c r="AC6" s="12">
        <v>1600</v>
      </c>
      <c r="AD6" s="12">
        <f>30*13*19</f>
        <v>7410</v>
      </c>
      <c r="AF6" s="15">
        <f t="shared" si="0"/>
        <v>1840</v>
      </c>
      <c r="AG6" s="15">
        <v>200</v>
      </c>
      <c r="AH6" s="12">
        <v>2000</v>
      </c>
      <c r="AI6" s="12">
        <v>50</v>
      </c>
      <c r="AJ6" s="12">
        <v>110</v>
      </c>
      <c r="AK6" s="9">
        <v>77056</v>
      </c>
      <c r="AL6" s="15">
        <v>500</v>
      </c>
      <c r="AM6" s="15">
        <v>230</v>
      </c>
      <c r="AN6" s="15">
        <v>1200</v>
      </c>
      <c r="AO6" s="15">
        <v>400</v>
      </c>
      <c r="AP6" s="15">
        <v>400</v>
      </c>
      <c r="AQ6" s="17">
        <v>0</v>
      </c>
      <c r="AS6">
        <v>800</v>
      </c>
      <c r="AT6" s="12">
        <f t="shared" si="1"/>
        <v>31248</v>
      </c>
      <c r="AU6" s="12"/>
      <c r="AW6" s="12"/>
      <c r="AX6" s="12">
        <f t="shared" si="2"/>
        <v>2928.7941515591397</v>
      </c>
      <c r="AY6" s="12">
        <f t="shared" si="3"/>
        <v>2678.4</v>
      </c>
      <c r="AZ6" s="12">
        <f>3*((4.3*24*31)+(21*(((((BH6/3)/31)/24)/1250)^2)*(24*31)))</f>
        <v>9597.5999999999985</v>
      </c>
      <c r="BA6" s="12">
        <f t="shared" si="5"/>
        <v>2678.4</v>
      </c>
      <c r="BB6" s="12">
        <f t="shared" si="6"/>
        <v>1011.84</v>
      </c>
      <c r="BC6">
        <v>400</v>
      </c>
      <c r="BD6" s="12">
        <v>10000</v>
      </c>
      <c r="BE6" s="12">
        <f t="shared" si="7"/>
        <v>1900</v>
      </c>
      <c r="BF6" s="12">
        <v>33620</v>
      </c>
    </row>
    <row r="7" spans="1:60">
      <c r="A7">
        <v>6</v>
      </c>
      <c r="B7">
        <v>1443042</v>
      </c>
      <c r="C7">
        <v>1219595</v>
      </c>
      <c r="D7">
        <v>20752</v>
      </c>
      <c r="E7">
        <v>196217.8672618581</v>
      </c>
      <c r="X7" s="9">
        <v>3015</v>
      </c>
      <c r="Y7" s="9">
        <v>5100</v>
      </c>
      <c r="Z7" s="9">
        <v>2127</v>
      </c>
      <c r="AA7" s="14" t="s">
        <v>69</v>
      </c>
      <c r="AB7" s="14" t="s">
        <v>69</v>
      </c>
      <c r="AC7" s="12">
        <v>1600</v>
      </c>
      <c r="AD7" s="12">
        <f>30*13*19</f>
        <v>7410</v>
      </c>
      <c r="AF7" s="15">
        <f t="shared" si="0"/>
        <v>1840</v>
      </c>
      <c r="AG7" s="15">
        <v>200</v>
      </c>
      <c r="AH7" s="12">
        <v>2000</v>
      </c>
      <c r="AI7" s="12">
        <v>50</v>
      </c>
      <c r="AJ7" s="12">
        <v>110</v>
      </c>
      <c r="AK7" s="9">
        <v>74763</v>
      </c>
      <c r="AL7" s="15">
        <v>500</v>
      </c>
      <c r="AM7" s="15">
        <v>230</v>
      </c>
      <c r="AN7" s="15">
        <v>1200</v>
      </c>
      <c r="AO7" s="15">
        <v>300</v>
      </c>
      <c r="AP7" s="15">
        <v>400</v>
      </c>
      <c r="AQ7" s="17">
        <v>0</v>
      </c>
      <c r="AS7">
        <v>800</v>
      </c>
      <c r="AT7" s="12">
        <f t="shared" si="1"/>
        <v>31248</v>
      </c>
      <c r="AU7" s="12"/>
      <c r="AW7" s="12"/>
      <c r="AX7" s="12">
        <f t="shared" si="2"/>
        <v>2927.200474139785</v>
      </c>
      <c r="AY7" s="12">
        <f t="shared" si="3"/>
        <v>2678.4</v>
      </c>
      <c r="AZ7" s="12">
        <f t="shared" ref="AZ7:AZ10" si="8">3*((4.3*24*31)+(21*(((((BH7/3)/31)/24)/1250)^2)*(24*31)))</f>
        <v>9597.5999999999985</v>
      </c>
      <c r="BA7" s="12">
        <f t="shared" si="5"/>
        <v>2678.4</v>
      </c>
      <c r="BB7" s="12">
        <f t="shared" si="6"/>
        <v>1011.84</v>
      </c>
      <c r="BC7">
        <v>400</v>
      </c>
      <c r="BD7" s="12">
        <v>10000</v>
      </c>
      <c r="BE7" s="12">
        <f t="shared" si="7"/>
        <v>1900</v>
      </c>
      <c r="BF7" s="12">
        <v>32620</v>
      </c>
    </row>
    <row r="8" spans="1:60">
      <c r="A8">
        <v>7</v>
      </c>
      <c r="B8">
        <v>1485150</v>
      </c>
      <c r="C8">
        <v>1276278</v>
      </c>
      <c r="D8">
        <v>21173</v>
      </c>
      <c r="E8">
        <v>170095.77063139185</v>
      </c>
      <c r="X8" s="9">
        <v>3213</v>
      </c>
      <c r="Y8" s="9">
        <v>4975</v>
      </c>
      <c r="Z8" s="9">
        <v>2475</v>
      </c>
      <c r="AA8" s="14" t="s">
        <v>69</v>
      </c>
      <c r="AB8" s="14" t="s">
        <v>69</v>
      </c>
      <c r="AC8" s="12">
        <v>1600</v>
      </c>
      <c r="AD8" s="12">
        <f>30*13*19</f>
        <v>7410</v>
      </c>
      <c r="AF8" s="15">
        <f t="shared" si="0"/>
        <v>1840</v>
      </c>
      <c r="AG8" s="15">
        <v>200</v>
      </c>
      <c r="AH8" s="12">
        <v>2000</v>
      </c>
      <c r="AI8" s="12">
        <v>50</v>
      </c>
      <c r="AJ8" s="12">
        <v>110</v>
      </c>
      <c r="AK8" s="9">
        <v>68372</v>
      </c>
      <c r="AL8" s="15">
        <v>500</v>
      </c>
      <c r="AM8" s="15">
        <v>230</v>
      </c>
      <c r="AN8" s="15">
        <v>1000</v>
      </c>
      <c r="AO8" s="15">
        <v>300</v>
      </c>
      <c r="AP8" s="15">
        <v>300</v>
      </c>
      <c r="AQ8" s="17">
        <v>0</v>
      </c>
      <c r="AS8">
        <v>800</v>
      </c>
      <c r="AT8" s="12">
        <f t="shared" si="1"/>
        <v>31248</v>
      </c>
      <c r="AU8" s="12"/>
      <c r="AW8" s="12"/>
      <c r="AX8" s="12">
        <f t="shared" si="2"/>
        <v>2905.722487889785</v>
      </c>
      <c r="AY8" s="12">
        <f t="shared" si="3"/>
        <v>2678.4</v>
      </c>
      <c r="AZ8" s="12">
        <f t="shared" si="8"/>
        <v>9597.5999999999985</v>
      </c>
      <c r="BA8" s="12">
        <f t="shared" si="5"/>
        <v>2678.4</v>
      </c>
      <c r="BB8" s="12">
        <f t="shared" si="6"/>
        <v>1011.84</v>
      </c>
      <c r="BC8">
        <v>400</v>
      </c>
      <c r="BD8" s="12">
        <v>10000</v>
      </c>
      <c r="BE8" s="12">
        <f t="shared" si="7"/>
        <v>1900</v>
      </c>
      <c r="BF8" s="12">
        <v>13090</v>
      </c>
    </row>
    <row r="9" spans="1:60">
      <c r="A9">
        <v>8</v>
      </c>
      <c r="B9">
        <v>1380667</v>
      </c>
      <c r="C9">
        <v>1202543</v>
      </c>
      <c r="D9">
        <v>18727</v>
      </c>
      <c r="E9">
        <v>150040.02317711464</v>
      </c>
      <c r="X9" s="9">
        <v>2568</v>
      </c>
      <c r="Y9" s="9">
        <v>5808</v>
      </c>
      <c r="Z9" s="9">
        <v>2011</v>
      </c>
      <c r="AA9" s="14" t="s">
        <v>69</v>
      </c>
      <c r="AB9" s="14" t="s">
        <v>69</v>
      </c>
      <c r="AC9" s="12">
        <v>1500</v>
      </c>
      <c r="AD9" s="12">
        <f>31*10*19</f>
        <v>5890</v>
      </c>
      <c r="AF9" s="15">
        <f t="shared" si="0"/>
        <v>1840</v>
      </c>
      <c r="AG9" s="15">
        <v>200</v>
      </c>
      <c r="AH9" s="12">
        <v>2000</v>
      </c>
      <c r="AI9" s="12">
        <v>50</v>
      </c>
      <c r="AJ9" s="12">
        <v>110</v>
      </c>
      <c r="AK9" s="9">
        <v>58273</v>
      </c>
      <c r="AL9" s="15">
        <v>500</v>
      </c>
      <c r="AM9" s="15">
        <v>220</v>
      </c>
      <c r="AN9" s="15">
        <v>800</v>
      </c>
      <c r="AO9" s="15">
        <v>300</v>
      </c>
      <c r="AP9" s="15">
        <v>300</v>
      </c>
      <c r="AQ9" s="17">
        <v>0</v>
      </c>
      <c r="AS9">
        <v>800</v>
      </c>
      <c r="AT9" s="12">
        <f t="shared" si="1"/>
        <v>31248</v>
      </c>
      <c r="AU9" s="12"/>
      <c r="AW9" s="12"/>
      <c r="AX9" s="12">
        <f t="shared" si="2"/>
        <v>2902.1113072446237</v>
      </c>
      <c r="AY9" s="12">
        <f t="shared" si="3"/>
        <v>2678.4</v>
      </c>
      <c r="AZ9" s="12">
        <f t="shared" si="8"/>
        <v>9597.5999999999985</v>
      </c>
      <c r="BA9" s="12">
        <f t="shared" si="5"/>
        <v>2678.4</v>
      </c>
      <c r="BB9" s="12">
        <f t="shared" si="6"/>
        <v>1011.84</v>
      </c>
      <c r="BC9">
        <v>400</v>
      </c>
      <c r="BD9" s="12">
        <v>1700</v>
      </c>
      <c r="BE9" s="12">
        <f t="shared" si="7"/>
        <v>1900</v>
      </c>
      <c r="BF9" s="12">
        <v>4610</v>
      </c>
    </row>
    <row r="10" spans="1:60">
      <c r="A10">
        <v>9</v>
      </c>
      <c r="B10">
        <v>1361615</v>
      </c>
      <c r="C10">
        <v>1202451</v>
      </c>
      <c r="D10">
        <v>15511</v>
      </c>
      <c r="E10">
        <v>122777.38154825743</v>
      </c>
      <c r="X10" s="9">
        <v>2037</v>
      </c>
      <c r="Y10" s="9">
        <v>5321</v>
      </c>
      <c r="Z10" s="9">
        <v>2043</v>
      </c>
      <c r="AA10" s="14" t="s">
        <v>69</v>
      </c>
      <c r="AB10" s="14" t="s">
        <v>69</v>
      </c>
      <c r="AC10" s="12">
        <v>1100</v>
      </c>
      <c r="AD10" s="12">
        <f>30*8*19</f>
        <v>4560</v>
      </c>
      <c r="AF10" s="15">
        <f t="shared" si="0"/>
        <v>1840</v>
      </c>
      <c r="AG10" s="15">
        <v>200</v>
      </c>
      <c r="AH10" s="12">
        <v>2000</v>
      </c>
      <c r="AI10" s="12">
        <v>50</v>
      </c>
      <c r="AJ10" s="12">
        <v>110</v>
      </c>
      <c r="AK10" s="9">
        <v>43393</v>
      </c>
      <c r="AL10" s="15">
        <v>500</v>
      </c>
      <c r="AM10" s="15">
        <v>150</v>
      </c>
      <c r="AN10" s="15">
        <v>600</v>
      </c>
      <c r="AO10" s="15">
        <v>200</v>
      </c>
      <c r="AP10" s="15">
        <v>300</v>
      </c>
      <c r="AQ10" s="17">
        <v>0</v>
      </c>
      <c r="AS10">
        <v>800</v>
      </c>
      <c r="AT10" s="12">
        <f t="shared" si="1"/>
        <v>31248</v>
      </c>
      <c r="AU10" s="12"/>
      <c r="AW10" s="12"/>
      <c r="AX10" s="12">
        <f t="shared" si="2"/>
        <v>2901.6</v>
      </c>
      <c r="AY10" s="12">
        <f t="shared" si="3"/>
        <v>2678.4</v>
      </c>
      <c r="AZ10" s="12">
        <f t="shared" si="8"/>
        <v>9597.5999999999985</v>
      </c>
      <c r="BA10" s="12">
        <f t="shared" si="5"/>
        <v>2678.4</v>
      </c>
      <c r="BB10" s="12">
        <f t="shared" si="6"/>
        <v>1011.84</v>
      </c>
      <c r="BC10">
        <v>360</v>
      </c>
      <c r="BD10" s="12">
        <v>1000</v>
      </c>
      <c r="BE10" s="12">
        <f t="shared" si="7"/>
        <v>1900</v>
      </c>
      <c r="BF10" s="12">
        <v>0</v>
      </c>
    </row>
    <row r="11" spans="1:60">
      <c r="A11">
        <v>10</v>
      </c>
      <c r="B11">
        <v>1369217</v>
      </c>
      <c r="C11">
        <v>1252099</v>
      </c>
      <c r="D11">
        <v>13232</v>
      </c>
      <c r="E11">
        <v>99272.687329196371</v>
      </c>
      <c r="X11" s="9">
        <v>102</v>
      </c>
      <c r="Y11" s="9">
        <v>5540</v>
      </c>
      <c r="Z11" s="9">
        <v>2067</v>
      </c>
      <c r="AA11" s="14" t="s">
        <v>69</v>
      </c>
      <c r="AB11" s="14" t="s">
        <v>69</v>
      </c>
      <c r="AC11" s="12">
        <v>1100</v>
      </c>
      <c r="AD11" s="12">
        <f>31*7*19</f>
        <v>4123</v>
      </c>
      <c r="AF11" s="15">
        <f t="shared" si="0"/>
        <v>1840</v>
      </c>
      <c r="AG11" s="15">
        <v>200</v>
      </c>
      <c r="AH11" s="12">
        <v>1900</v>
      </c>
      <c r="AI11" s="12">
        <v>50</v>
      </c>
      <c r="AJ11" s="12">
        <v>110</v>
      </c>
      <c r="AK11" s="9">
        <v>14565</v>
      </c>
      <c r="AL11" s="15">
        <v>500</v>
      </c>
      <c r="AM11" s="15">
        <v>80</v>
      </c>
      <c r="AN11" s="15">
        <v>500</v>
      </c>
      <c r="AO11" s="15">
        <v>200</v>
      </c>
      <c r="AP11" s="15">
        <v>200</v>
      </c>
      <c r="AQ11" s="17">
        <v>0</v>
      </c>
      <c r="AS11">
        <v>800</v>
      </c>
      <c r="AT11" s="12">
        <f t="shared" si="1"/>
        <v>31248</v>
      </c>
      <c r="AU11" s="12"/>
      <c r="AW11" s="12"/>
      <c r="AX11" s="12">
        <f t="shared" si="2"/>
        <v>2901.6</v>
      </c>
      <c r="AY11" s="12">
        <f t="shared" si="3"/>
        <v>2678.4</v>
      </c>
      <c r="AZ11" s="12">
        <f>2*((4.3*24*31)+(21*(((((BH11/2)/31)/24)/1250)^2)*(24*31)))</f>
        <v>6398.4</v>
      </c>
      <c r="BA11" s="12">
        <f t="shared" si="5"/>
        <v>2678.4</v>
      </c>
      <c r="BB11" s="12">
        <f t="shared" si="6"/>
        <v>1011.84</v>
      </c>
      <c r="BC11">
        <v>200</v>
      </c>
      <c r="BD11" s="12">
        <v>1000</v>
      </c>
      <c r="BE11" s="12">
        <f t="shared" si="7"/>
        <v>1900</v>
      </c>
      <c r="BF11" s="12">
        <v>0</v>
      </c>
    </row>
    <row r="12" spans="1:60">
      <c r="A12">
        <v>11</v>
      </c>
      <c r="B12">
        <v>1327655</v>
      </c>
      <c r="C12">
        <v>1212603</v>
      </c>
      <c r="D12">
        <v>13028</v>
      </c>
      <c r="E12">
        <v>98343.584975945007</v>
      </c>
      <c r="X12" s="9">
        <v>69</v>
      </c>
      <c r="Y12" s="9">
        <v>5374</v>
      </c>
      <c r="Z12" s="9">
        <v>2062</v>
      </c>
      <c r="AA12" s="14" t="s">
        <v>69</v>
      </c>
      <c r="AB12" s="14" t="s">
        <v>69</v>
      </c>
      <c r="AC12" s="12">
        <v>1100</v>
      </c>
      <c r="AD12" s="12">
        <f>31*7*19</f>
        <v>4123</v>
      </c>
      <c r="AF12" s="15">
        <f t="shared" si="0"/>
        <v>1840</v>
      </c>
      <c r="AG12" s="15">
        <v>200</v>
      </c>
      <c r="AH12" s="12">
        <v>1900</v>
      </c>
      <c r="AI12" s="12">
        <v>50</v>
      </c>
      <c r="AJ12" s="12">
        <v>110</v>
      </c>
      <c r="AK12" s="9">
        <v>12293</v>
      </c>
      <c r="AL12" s="15">
        <v>500</v>
      </c>
      <c r="AM12" s="15">
        <v>80</v>
      </c>
      <c r="AN12" s="15">
        <v>500</v>
      </c>
      <c r="AO12" s="15">
        <v>200</v>
      </c>
      <c r="AP12" s="15">
        <v>200</v>
      </c>
      <c r="AQ12" s="17">
        <v>0</v>
      </c>
      <c r="AS12">
        <v>800</v>
      </c>
      <c r="AT12" s="12">
        <f t="shared" si="1"/>
        <v>31248</v>
      </c>
      <c r="AU12" s="12"/>
      <c r="AW12" s="12"/>
      <c r="AX12" s="12">
        <f t="shared" si="2"/>
        <v>2901.6</v>
      </c>
      <c r="AY12" s="12">
        <f t="shared" si="3"/>
        <v>2678.4</v>
      </c>
      <c r="AZ12" s="12">
        <f t="shared" ref="AZ12:AZ25" si="9">2*((4.3*24*31)+(21*(((((BH12/2)/31)/24)/1250)^2)*(24*31)))</f>
        <v>6398.4</v>
      </c>
      <c r="BA12" s="12">
        <f t="shared" si="5"/>
        <v>2678.4</v>
      </c>
      <c r="BB12" s="12">
        <f t="shared" si="6"/>
        <v>1011.84</v>
      </c>
      <c r="BC12">
        <v>200</v>
      </c>
      <c r="BD12" s="12">
        <v>1000</v>
      </c>
      <c r="BE12" s="12">
        <f t="shared" si="7"/>
        <v>1900</v>
      </c>
      <c r="BF12" s="12">
        <v>0</v>
      </c>
    </row>
    <row r="13" spans="1:60">
      <c r="A13">
        <v>12</v>
      </c>
      <c r="B13">
        <v>1175715</v>
      </c>
      <c r="C13">
        <v>1062942</v>
      </c>
      <c r="D13">
        <v>13783</v>
      </c>
      <c r="E13">
        <v>98177.087244331793</v>
      </c>
      <c r="X13" s="9">
        <v>132</v>
      </c>
      <c r="Y13" s="9">
        <v>5889</v>
      </c>
      <c r="Z13" s="9">
        <v>2089</v>
      </c>
      <c r="AA13" s="14" t="s">
        <v>69</v>
      </c>
      <c r="AB13" s="14" t="s">
        <v>69</v>
      </c>
      <c r="AC13" s="12">
        <v>1100</v>
      </c>
      <c r="AD13" s="12">
        <f>31*7*19</f>
        <v>4123</v>
      </c>
      <c r="AF13" s="15">
        <f t="shared" si="0"/>
        <v>1840</v>
      </c>
      <c r="AG13" s="15">
        <v>200</v>
      </c>
      <c r="AH13" s="12">
        <v>1800</v>
      </c>
      <c r="AI13" s="12">
        <v>50</v>
      </c>
      <c r="AJ13" s="12">
        <v>110</v>
      </c>
      <c r="AK13" s="9">
        <v>13539</v>
      </c>
      <c r="AL13" s="15">
        <v>500</v>
      </c>
      <c r="AM13" s="15">
        <v>80</v>
      </c>
      <c r="AN13" s="15">
        <v>500</v>
      </c>
      <c r="AO13" s="15">
        <v>200</v>
      </c>
      <c r="AP13" s="15">
        <v>200</v>
      </c>
      <c r="AQ13" s="17">
        <v>0</v>
      </c>
      <c r="AS13">
        <v>800</v>
      </c>
      <c r="AT13" s="12">
        <f t="shared" si="1"/>
        <v>31248</v>
      </c>
      <c r="AU13" s="12"/>
      <c r="AW13" s="12"/>
      <c r="AX13" s="12">
        <f t="shared" si="2"/>
        <v>2901.7345681821234</v>
      </c>
      <c r="AY13" s="12">
        <f t="shared" si="3"/>
        <v>2678.4</v>
      </c>
      <c r="AZ13" s="12">
        <f t="shared" si="9"/>
        <v>6398.4</v>
      </c>
      <c r="BA13" s="12">
        <f t="shared" si="5"/>
        <v>2678.4</v>
      </c>
      <c r="BB13" s="12">
        <f t="shared" si="6"/>
        <v>1011.84</v>
      </c>
      <c r="BC13">
        <v>200</v>
      </c>
      <c r="BD13" s="12">
        <v>1400</v>
      </c>
      <c r="BE13" s="12">
        <f t="shared" si="7"/>
        <v>1900</v>
      </c>
      <c r="BF13" s="12">
        <v>2365</v>
      </c>
    </row>
    <row r="14" spans="1:60">
      <c r="A14">
        <v>13</v>
      </c>
      <c r="B14">
        <v>1261727</v>
      </c>
      <c r="C14">
        <v>1123113</v>
      </c>
      <c r="D14">
        <v>16274</v>
      </c>
      <c r="E14">
        <v>113118.63935724589</v>
      </c>
      <c r="X14" s="9">
        <v>1155</v>
      </c>
      <c r="Y14" s="9">
        <v>5178</v>
      </c>
      <c r="Z14" s="9">
        <v>2841</v>
      </c>
      <c r="AA14" s="9">
        <v>157</v>
      </c>
      <c r="AB14" s="9">
        <v>983</v>
      </c>
      <c r="AC14" s="12">
        <v>1400</v>
      </c>
      <c r="AD14" s="12">
        <f>30*8*19</f>
        <v>4560</v>
      </c>
      <c r="AF14" s="15">
        <f t="shared" si="0"/>
        <v>1840</v>
      </c>
      <c r="AG14" s="15">
        <v>200</v>
      </c>
      <c r="AH14" s="12">
        <v>1800</v>
      </c>
      <c r="AI14" s="12">
        <v>50</v>
      </c>
      <c r="AJ14" s="12">
        <v>110</v>
      </c>
      <c r="AK14" s="9">
        <v>23210</v>
      </c>
      <c r="AL14" s="15">
        <v>500</v>
      </c>
      <c r="AM14" s="15">
        <v>150</v>
      </c>
      <c r="AN14" s="15">
        <v>500</v>
      </c>
      <c r="AO14" s="15">
        <v>200</v>
      </c>
      <c r="AP14" s="15">
        <v>200</v>
      </c>
      <c r="AQ14" s="17">
        <v>0</v>
      </c>
      <c r="AS14">
        <v>800</v>
      </c>
      <c r="AT14" s="12">
        <f t="shared" si="1"/>
        <v>31248</v>
      </c>
      <c r="AU14" s="12"/>
      <c r="AW14" s="12"/>
      <c r="AX14" s="12">
        <f t="shared" si="2"/>
        <v>2902.2282346639786</v>
      </c>
      <c r="AY14" s="12">
        <f t="shared" si="3"/>
        <v>2678.4</v>
      </c>
      <c r="AZ14" s="12">
        <f t="shared" si="9"/>
        <v>6398.4</v>
      </c>
      <c r="BA14" s="12">
        <f t="shared" si="5"/>
        <v>2678.4</v>
      </c>
      <c r="BB14" s="12">
        <f t="shared" si="6"/>
        <v>1011.84</v>
      </c>
      <c r="BC14">
        <v>200</v>
      </c>
      <c r="BD14" s="12">
        <v>1500</v>
      </c>
      <c r="BE14" s="12">
        <f t="shared" si="7"/>
        <v>1900</v>
      </c>
      <c r="BF14" s="12">
        <v>5110</v>
      </c>
    </row>
    <row r="15" spans="1:60">
      <c r="A15">
        <v>14</v>
      </c>
      <c r="B15">
        <v>1234380</v>
      </c>
      <c r="C15">
        <v>1086054</v>
      </c>
      <c r="D15">
        <v>19133</v>
      </c>
      <c r="E15">
        <v>136016.27915933938</v>
      </c>
      <c r="X15" s="9">
        <v>1689</v>
      </c>
      <c r="Y15" s="9">
        <v>5550</v>
      </c>
      <c r="Z15" s="9">
        <v>3194</v>
      </c>
      <c r="AA15" s="9">
        <v>856</v>
      </c>
      <c r="AB15" s="9">
        <v>454</v>
      </c>
      <c r="AC15" s="12">
        <v>1500</v>
      </c>
      <c r="AD15" s="12">
        <f>31*10*19</f>
        <v>5890</v>
      </c>
      <c r="AF15" s="15">
        <f t="shared" si="0"/>
        <v>1840</v>
      </c>
      <c r="AG15" s="15">
        <v>200</v>
      </c>
      <c r="AH15" s="12">
        <v>1800</v>
      </c>
      <c r="AI15" s="12">
        <v>50</v>
      </c>
      <c r="AJ15" s="12">
        <v>110</v>
      </c>
      <c r="AK15" s="9">
        <v>45209</v>
      </c>
      <c r="AL15" s="15">
        <v>500</v>
      </c>
      <c r="AM15" s="15">
        <v>220</v>
      </c>
      <c r="AN15" s="15">
        <v>500</v>
      </c>
      <c r="AO15" s="15">
        <v>300</v>
      </c>
      <c r="AP15" s="15">
        <v>300</v>
      </c>
      <c r="AQ15" s="17">
        <v>0</v>
      </c>
      <c r="AS15">
        <v>800</v>
      </c>
      <c r="AT15" s="12">
        <f t="shared" si="1"/>
        <v>31248</v>
      </c>
      <c r="AU15" s="12"/>
      <c r="AW15" s="12"/>
      <c r="AX15" s="12">
        <f t="shared" si="2"/>
        <v>2904.892329773656</v>
      </c>
      <c r="AY15" s="12">
        <f t="shared" si="3"/>
        <v>2678.4</v>
      </c>
      <c r="AZ15" s="12">
        <f t="shared" si="9"/>
        <v>6398.4</v>
      </c>
      <c r="BA15" s="12">
        <f t="shared" si="5"/>
        <v>2678.4</v>
      </c>
      <c r="BB15" s="12">
        <f t="shared" si="6"/>
        <v>1011.84</v>
      </c>
      <c r="BC15">
        <v>320</v>
      </c>
      <c r="BD15" s="12">
        <v>2000</v>
      </c>
      <c r="BE15" s="12">
        <f t="shared" si="7"/>
        <v>1900</v>
      </c>
      <c r="BF15" s="12">
        <v>11698</v>
      </c>
    </row>
    <row r="16" spans="1:60">
      <c r="A16">
        <v>15</v>
      </c>
      <c r="B16">
        <v>1093630</v>
      </c>
      <c r="C16">
        <v>938396</v>
      </c>
      <c r="D16">
        <v>19935</v>
      </c>
      <c r="E16">
        <v>140694.58799117501</v>
      </c>
      <c r="X16" s="9">
        <v>1905</v>
      </c>
      <c r="Y16" s="9">
        <v>4990</v>
      </c>
      <c r="Z16" s="9">
        <v>2653</v>
      </c>
      <c r="AA16" s="9">
        <v>1092</v>
      </c>
      <c r="AB16" s="9">
        <v>390</v>
      </c>
      <c r="AC16" s="12">
        <v>1500</v>
      </c>
      <c r="AD16" s="12">
        <f>6435+970</f>
        <v>7405</v>
      </c>
      <c r="AF16" s="15">
        <f t="shared" si="0"/>
        <v>1840</v>
      </c>
      <c r="AG16" s="15">
        <v>200</v>
      </c>
      <c r="AH16" s="12">
        <v>1600</v>
      </c>
      <c r="AI16" s="12">
        <v>50</v>
      </c>
      <c r="AJ16" s="12">
        <v>110</v>
      </c>
      <c r="AK16" s="9">
        <v>50351</v>
      </c>
      <c r="AL16" s="15">
        <v>500</v>
      </c>
      <c r="AM16" s="15">
        <v>230</v>
      </c>
      <c r="AN16" s="15">
        <v>600</v>
      </c>
      <c r="AO16" s="15">
        <v>300</v>
      </c>
      <c r="AP16" s="15">
        <v>400</v>
      </c>
      <c r="AQ16" s="17">
        <v>0</v>
      </c>
      <c r="AS16">
        <v>800</v>
      </c>
      <c r="AT16" s="12">
        <f t="shared" si="1"/>
        <v>31248</v>
      </c>
      <c r="AU16" s="12"/>
      <c r="AW16" s="12"/>
      <c r="AX16" s="12">
        <f t="shared" si="2"/>
        <v>2906.0630762903224</v>
      </c>
      <c r="AY16" s="12">
        <f t="shared" si="3"/>
        <v>2678.4</v>
      </c>
      <c r="AZ16" s="12">
        <f t="shared" si="9"/>
        <v>6398.4</v>
      </c>
      <c r="BA16" s="12">
        <f t="shared" si="5"/>
        <v>2678.4</v>
      </c>
      <c r="BB16" s="12">
        <f t="shared" si="6"/>
        <v>1011.84</v>
      </c>
      <c r="BC16">
        <v>360</v>
      </c>
      <c r="BD16" s="12">
        <v>3000</v>
      </c>
      <c r="BE16" s="12">
        <f t="shared" si="7"/>
        <v>1900</v>
      </c>
      <c r="BF16" s="12">
        <v>13620</v>
      </c>
    </row>
    <row r="17" spans="1:58" ht="15.75" thickBot="1">
      <c r="A17">
        <v>16</v>
      </c>
      <c r="B17">
        <v>884580</v>
      </c>
      <c r="C17">
        <v>721148</v>
      </c>
      <c r="D17">
        <v>19841.57894736842</v>
      </c>
      <c r="E17">
        <v>138992.06872624916</v>
      </c>
      <c r="X17" s="10">
        <v>2274</v>
      </c>
      <c r="Y17" s="10">
        <v>6123.3157894736842</v>
      </c>
      <c r="Z17" s="13">
        <v>2029</v>
      </c>
      <c r="AA17" s="13">
        <v>755</v>
      </c>
      <c r="AB17" s="13">
        <v>85</v>
      </c>
      <c r="AC17" s="10">
        <v>1070</v>
      </c>
      <c r="AD17" s="12">
        <f>((4600/19)*31)</f>
        <v>7505.2631578947367</v>
      </c>
      <c r="AF17" s="15">
        <f t="shared" si="0"/>
        <v>1840</v>
      </c>
      <c r="AG17" s="15">
        <v>200</v>
      </c>
      <c r="AH17" s="12">
        <v>1600</v>
      </c>
      <c r="AI17" s="12">
        <v>50</v>
      </c>
      <c r="AJ17" s="12">
        <v>110</v>
      </c>
      <c r="AK17" s="9">
        <v>47442.42105263158</v>
      </c>
      <c r="AL17" s="15">
        <v>500</v>
      </c>
      <c r="AM17" s="15">
        <v>150</v>
      </c>
      <c r="AN17" s="16">
        <v>750</v>
      </c>
      <c r="AO17" s="15">
        <v>400</v>
      </c>
      <c r="AP17" s="15">
        <v>400</v>
      </c>
      <c r="AQ17" s="18">
        <v>392</v>
      </c>
      <c r="AS17">
        <v>800</v>
      </c>
      <c r="AT17" s="12">
        <f t="shared" si="1"/>
        <v>31248</v>
      </c>
      <c r="AU17" s="12"/>
      <c r="AW17" s="12"/>
      <c r="AX17" s="12">
        <f t="shared" si="2"/>
        <v>2907.4894543491419</v>
      </c>
      <c r="AY17" s="12">
        <f>2*((3.6*24*31)+(17.9*(((((BG17/2)/31)/24)/1000)^2)*(24*31)))</f>
        <v>5356.8</v>
      </c>
      <c r="AZ17" s="12">
        <f t="shared" ref="AZ17" si="10">3*((4.3*24*31)+(21*(((((BH17/3)/31)/24)/1250)^2)*(24*31)))</f>
        <v>9597.5999999999985</v>
      </c>
      <c r="BA17" s="12">
        <f t="shared" si="5"/>
        <v>2678.4</v>
      </c>
      <c r="BB17" s="12">
        <v>0</v>
      </c>
      <c r="BC17">
        <v>400</v>
      </c>
      <c r="BD17" s="10">
        <v>1900</v>
      </c>
      <c r="BE17" s="12">
        <f t="shared" si="7"/>
        <v>1900</v>
      </c>
      <c r="BF17" s="21">
        <v>15645.78947368421</v>
      </c>
    </row>
    <row r="18" spans="1:58" ht="16.5" thickTop="1" thickBot="1">
      <c r="A18">
        <v>17</v>
      </c>
      <c r="B18">
        <v>831290</v>
      </c>
      <c r="C18">
        <v>584084</v>
      </c>
      <c r="D18">
        <v>24553.263157894737</v>
      </c>
      <c r="E18">
        <v>214060.84220962878</v>
      </c>
      <c r="X18" s="10">
        <v>4449</v>
      </c>
      <c r="Y18" s="10">
        <v>5012</v>
      </c>
      <c r="Z18" s="13">
        <v>3002</v>
      </c>
      <c r="AA18" s="13">
        <v>1858</v>
      </c>
      <c r="AB18" s="13">
        <v>127</v>
      </c>
      <c r="AC18" s="10">
        <v>2600</v>
      </c>
      <c r="AD18" s="12">
        <f>((4600/19)*31)</f>
        <v>7505.2631578947367</v>
      </c>
      <c r="AF18" s="15">
        <f t="shared" si="0"/>
        <v>1840</v>
      </c>
      <c r="AG18" s="15">
        <v>200</v>
      </c>
      <c r="AH18" s="12">
        <v>1600</v>
      </c>
      <c r="AI18" s="12">
        <v>50</v>
      </c>
      <c r="AJ18" s="12">
        <v>110</v>
      </c>
      <c r="AK18" s="9">
        <v>101947</v>
      </c>
      <c r="AL18" s="15">
        <v>500</v>
      </c>
      <c r="AM18" s="15">
        <v>750</v>
      </c>
      <c r="AN18" s="16">
        <v>1650</v>
      </c>
      <c r="AO18" s="15">
        <v>400</v>
      </c>
      <c r="AP18" s="15">
        <v>400</v>
      </c>
      <c r="AQ18" s="18">
        <v>1621</v>
      </c>
      <c r="AS18">
        <v>800</v>
      </c>
      <c r="AT18" s="12">
        <f t="shared" si="1"/>
        <v>31248</v>
      </c>
      <c r="AU18" s="12"/>
      <c r="AW18" s="12"/>
      <c r="AX18" s="12">
        <f t="shared" si="2"/>
        <v>2910.6866644790321</v>
      </c>
      <c r="AY18" s="12">
        <f t="shared" si="3"/>
        <v>2678.4</v>
      </c>
      <c r="AZ18" s="12">
        <f t="shared" si="9"/>
        <v>6398.4</v>
      </c>
      <c r="BA18" s="12">
        <f t="shared" si="5"/>
        <v>2678.4</v>
      </c>
      <c r="BB18" s="12">
        <v>0</v>
      </c>
      <c r="BC18">
        <v>280</v>
      </c>
      <c r="BD18" s="10">
        <v>12000</v>
      </c>
      <c r="BE18" s="12">
        <f t="shared" si="7"/>
        <v>1900</v>
      </c>
      <c r="BF18" s="21">
        <v>19434</v>
      </c>
    </row>
    <row r="19" spans="1:58" ht="15.75" thickTop="1">
      <c r="A19">
        <v>18</v>
      </c>
      <c r="B19">
        <v>761380</v>
      </c>
      <c r="C19">
        <v>577243</v>
      </c>
      <c r="D19">
        <v>18307</v>
      </c>
      <c r="E19">
        <v>163948.74754084056</v>
      </c>
      <c r="X19" s="9">
        <v>2946</v>
      </c>
      <c r="Y19" s="12">
        <v>2697</v>
      </c>
      <c r="Z19" s="9">
        <v>2442</v>
      </c>
      <c r="AA19" s="9">
        <v>1135</v>
      </c>
      <c r="AB19" s="9">
        <v>83</v>
      </c>
      <c r="AC19" s="12">
        <v>1594</v>
      </c>
      <c r="AD19" s="12">
        <f>30*13*19</f>
        <v>7410</v>
      </c>
      <c r="AF19" s="15">
        <f t="shared" si="0"/>
        <v>1840</v>
      </c>
      <c r="AG19" s="15">
        <v>200</v>
      </c>
      <c r="AH19" s="12">
        <v>1200</v>
      </c>
      <c r="AI19" s="12">
        <v>50</v>
      </c>
      <c r="AJ19" s="12">
        <v>110</v>
      </c>
      <c r="AK19" s="9">
        <v>66457</v>
      </c>
      <c r="AL19" s="15">
        <v>500</v>
      </c>
      <c r="AM19" s="15">
        <v>500</v>
      </c>
      <c r="AN19" s="15">
        <v>1200</v>
      </c>
      <c r="AO19" s="15">
        <v>400</v>
      </c>
      <c r="AP19" s="15">
        <v>400</v>
      </c>
      <c r="AQ19" s="17">
        <v>1605</v>
      </c>
      <c r="AS19">
        <v>800</v>
      </c>
      <c r="AT19" s="12">
        <f t="shared" si="1"/>
        <v>31248</v>
      </c>
      <c r="AU19" s="12"/>
      <c r="AW19" s="12"/>
      <c r="AX19" s="12">
        <f t="shared" si="2"/>
        <v>2909.6747862365592</v>
      </c>
      <c r="AY19" s="12">
        <f t="shared" si="3"/>
        <v>2678.4</v>
      </c>
      <c r="AZ19" s="12">
        <f t="shared" si="9"/>
        <v>6398.4</v>
      </c>
      <c r="BA19" s="12">
        <f t="shared" si="5"/>
        <v>2678.4</v>
      </c>
      <c r="BB19" s="12">
        <v>0</v>
      </c>
      <c r="BC19">
        <v>930</v>
      </c>
      <c r="BD19" s="12">
        <v>8000</v>
      </c>
      <c r="BE19" s="12">
        <f t="shared" si="7"/>
        <v>1900</v>
      </c>
      <c r="BF19" s="12">
        <v>18320</v>
      </c>
    </row>
    <row r="20" spans="1:58">
      <c r="A20">
        <v>19</v>
      </c>
      <c r="B20">
        <v>596190</v>
      </c>
      <c r="C20">
        <v>429135</v>
      </c>
      <c r="D20">
        <v>20210</v>
      </c>
      <c r="E20">
        <v>143486.28500206277</v>
      </c>
      <c r="X20" s="9">
        <v>3147</v>
      </c>
      <c r="Y20" s="9">
        <v>2866</v>
      </c>
      <c r="Z20" s="9">
        <v>2435</v>
      </c>
      <c r="AA20" s="9">
        <v>1046</v>
      </c>
      <c r="AB20" s="9">
        <v>110</v>
      </c>
      <c r="AC20" s="9">
        <v>3196</v>
      </c>
      <c r="AD20" s="12">
        <f>30*13*19</f>
        <v>7410</v>
      </c>
      <c r="AF20" s="15">
        <f t="shared" si="0"/>
        <v>1840</v>
      </c>
      <c r="AG20" s="15">
        <v>200</v>
      </c>
      <c r="AH20" s="12">
        <v>1200</v>
      </c>
      <c r="AI20" s="12">
        <v>50</v>
      </c>
      <c r="AJ20" s="12">
        <v>110</v>
      </c>
      <c r="AK20" s="9">
        <v>57976</v>
      </c>
      <c r="AL20" s="15">
        <v>500</v>
      </c>
      <c r="AM20" s="15">
        <v>400</v>
      </c>
      <c r="AN20" s="15">
        <v>1200</v>
      </c>
      <c r="AO20" s="15">
        <v>300</v>
      </c>
      <c r="AP20" s="15">
        <v>300</v>
      </c>
      <c r="AQ20" s="17">
        <v>1060</v>
      </c>
      <c r="AS20">
        <v>800</v>
      </c>
      <c r="AT20" s="12">
        <f t="shared" si="1"/>
        <v>31248</v>
      </c>
      <c r="AU20" s="12"/>
      <c r="AW20" s="12"/>
      <c r="AX20" s="12">
        <f t="shared" si="2"/>
        <v>2904.0640023655915</v>
      </c>
      <c r="AY20" s="12">
        <f t="shared" si="3"/>
        <v>2678.4</v>
      </c>
      <c r="AZ20" s="12">
        <f t="shared" si="9"/>
        <v>6398.4</v>
      </c>
      <c r="BA20" s="12">
        <f t="shared" si="5"/>
        <v>2678.4</v>
      </c>
      <c r="BB20" s="12">
        <v>0</v>
      </c>
      <c r="BC20">
        <v>930</v>
      </c>
      <c r="BD20" s="12">
        <v>6200</v>
      </c>
      <c r="BE20" s="12">
        <f t="shared" si="7"/>
        <v>1900</v>
      </c>
      <c r="BF20" s="12">
        <v>10120</v>
      </c>
    </row>
    <row r="21" spans="1:58">
      <c r="A21">
        <v>20</v>
      </c>
      <c r="B21">
        <v>515460</v>
      </c>
      <c r="C21">
        <v>400963</v>
      </c>
      <c r="D21">
        <v>17143</v>
      </c>
      <c r="E21">
        <v>102524.13343750102</v>
      </c>
      <c r="X21" s="9">
        <v>2364</v>
      </c>
      <c r="Y21" s="9">
        <v>3428</v>
      </c>
      <c r="Z21" s="9">
        <v>1941</v>
      </c>
      <c r="AA21" s="9">
        <v>536</v>
      </c>
      <c r="AB21" s="9">
        <v>116</v>
      </c>
      <c r="AC21" s="9">
        <v>2868</v>
      </c>
      <c r="AD21" s="12">
        <f>31*10*19</f>
        <v>5890</v>
      </c>
      <c r="AF21" s="15">
        <f t="shared" si="0"/>
        <v>1840</v>
      </c>
      <c r="AG21" s="15">
        <v>200</v>
      </c>
      <c r="AH21" s="12">
        <v>800</v>
      </c>
      <c r="AI21" s="12">
        <v>50</v>
      </c>
      <c r="AJ21" s="12">
        <v>110</v>
      </c>
      <c r="AK21" s="9">
        <v>32869</v>
      </c>
      <c r="AL21" s="15">
        <v>500</v>
      </c>
      <c r="AM21" s="15">
        <v>300</v>
      </c>
      <c r="AN21" s="15">
        <v>900</v>
      </c>
      <c r="AO21" s="15">
        <v>300</v>
      </c>
      <c r="AP21" s="15">
        <v>300</v>
      </c>
      <c r="AQ21" s="17">
        <v>274</v>
      </c>
      <c r="AS21">
        <v>800</v>
      </c>
      <c r="AT21" s="12">
        <f t="shared" si="1"/>
        <v>31248</v>
      </c>
      <c r="AU21" s="12"/>
      <c r="AW21" s="12"/>
      <c r="AX21" s="12">
        <f t="shared" si="2"/>
        <v>2901.6250311290323</v>
      </c>
      <c r="AY21" s="12">
        <f t="shared" si="3"/>
        <v>2678.4</v>
      </c>
      <c r="AZ21" s="12">
        <f t="shared" si="9"/>
        <v>6398.4</v>
      </c>
      <c r="BA21" s="12">
        <f t="shared" si="5"/>
        <v>2678.4</v>
      </c>
      <c r="BB21" s="12">
        <v>0</v>
      </c>
      <c r="BC21">
        <v>830</v>
      </c>
      <c r="BD21" s="12">
        <v>800</v>
      </c>
      <c r="BE21" s="12">
        <f t="shared" si="7"/>
        <v>1900</v>
      </c>
      <c r="BF21" s="12">
        <v>1020</v>
      </c>
    </row>
    <row r="22" spans="1:58">
      <c r="A22">
        <v>21</v>
      </c>
      <c r="B22">
        <v>543960</v>
      </c>
      <c r="C22">
        <v>447834</v>
      </c>
      <c r="D22">
        <v>14617</v>
      </c>
      <c r="E22">
        <v>87195.839045595436</v>
      </c>
      <c r="X22" s="9">
        <v>252</v>
      </c>
      <c r="Y22" s="9">
        <v>6372</v>
      </c>
      <c r="Z22" s="9">
        <v>1630</v>
      </c>
      <c r="AA22" s="9">
        <v>628</v>
      </c>
      <c r="AB22" s="9">
        <v>103</v>
      </c>
      <c r="AC22" s="9">
        <v>2772</v>
      </c>
      <c r="AD22" s="12">
        <v>2860</v>
      </c>
      <c r="AF22" s="15">
        <f t="shared" si="0"/>
        <v>1840</v>
      </c>
      <c r="AG22" s="15">
        <v>200</v>
      </c>
      <c r="AH22" s="12">
        <v>800</v>
      </c>
      <c r="AI22" s="12">
        <v>50</v>
      </c>
      <c r="AJ22" s="12">
        <v>110</v>
      </c>
      <c r="AK22" s="9">
        <v>17771</v>
      </c>
      <c r="AL22" s="15">
        <v>500</v>
      </c>
      <c r="AM22" s="15">
        <v>300</v>
      </c>
      <c r="AN22" s="15">
        <v>600</v>
      </c>
      <c r="AO22" s="15">
        <v>200</v>
      </c>
      <c r="AP22" s="15">
        <v>300</v>
      </c>
      <c r="AQ22" s="17">
        <v>476</v>
      </c>
      <c r="AS22">
        <v>800</v>
      </c>
      <c r="AT22" s="12">
        <f t="shared" si="1"/>
        <v>31248</v>
      </c>
      <c r="AU22" s="12"/>
      <c r="AW22" s="12"/>
      <c r="AX22" s="12">
        <f t="shared" si="2"/>
        <v>2901.6</v>
      </c>
      <c r="AY22" s="12">
        <f t="shared" si="3"/>
        <v>2678.4</v>
      </c>
      <c r="AZ22" s="12">
        <f t="shared" si="9"/>
        <v>6398.4</v>
      </c>
      <c r="BA22" s="12">
        <f t="shared" si="5"/>
        <v>2678.4</v>
      </c>
      <c r="BB22" s="12">
        <v>0</v>
      </c>
      <c r="BC22">
        <v>480</v>
      </c>
      <c r="BD22" s="12">
        <v>800</v>
      </c>
      <c r="BE22" s="12">
        <f t="shared" si="7"/>
        <v>1900</v>
      </c>
      <c r="BF22" s="12">
        <v>0</v>
      </c>
    </row>
    <row r="23" spans="1:58">
      <c r="A23">
        <v>22</v>
      </c>
      <c r="B23">
        <v>514803</v>
      </c>
      <c r="C23">
        <v>445438</v>
      </c>
      <c r="D23">
        <v>10470</v>
      </c>
      <c r="E23">
        <v>68090.636174450512</v>
      </c>
      <c r="X23" s="11">
        <v>66</v>
      </c>
      <c r="Y23" s="11">
        <v>4156</v>
      </c>
      <c r="Z23" s="11">
        <v>1767</v>
      </c>
      <c r="AA23" s="9">
        <v>917</v>
      </c>
      <c r="AB23" s="9">
        <v>128</v>
      </c>
      <c r="AC23" s="9">
        <v>2516</v>
      </c>
      <c r="AD23" s="12">
        <f>720+200</f>
        <v>920</v>
      </c>
      <c r="AF23" s="15">
        <f t="shared" si="0"/>
        <v>1840</v>
      </c>
      <c r="AG23" s="15">
        <v>200</v>
      </c>
      <c r="AH23" s="12">
        <v>800</v>
      </c>
      <c r="AI23" s="12">
        <v>50</v>
      </c>
      <c r="AJ23" s="12">
        <v>110</v>
      </c>
      <c r="AK23" s="9">
        <v>6820</v>
      </c>
      <c r="AL23" s="15">
        <v>300</v>
      </c>
      <c r="AM23" s="15">
        <v>100</v>
      </c>
      <c r="AN23" s="15">
        <v>300</v>
      </c>
      <c r="AO23" s="15">
        <v>100</v>
      </c>
      <c r="AP23" s="15">
        <v>200</v>
      </c>
      <c r="AQ23" s="17">
        <v>48</v>
      </c>
      <c r="AS23">
        <v>800</v>
      </c>
      <c r="AT23" s="12">
        <f>(42*24*29)+(121.8*((((BJ23/31)/24)/16000)^2)*(24*31))</f>
        <v>29232</v>
      </c>
      <c r="AU23" s="12"/>
      <c r="AW23" s="12"/>
      <c r="AX23" s="12">
        <v>0</v>
      </c>
      <c r="AY23" s="12">
        <f t="shared" si="3"/>
        <v>2678.4</v>
      </c>
      <c r="AZ23" s="12">
        <f t="shared" si="9"/>
        <v>6398.4</v>
      </c>
      <c r="BA23" s="12">
        <f>(3.6*24*14)+(17.9*((((BI23/31)/24)/1000)^2)*(24*10))</f>
        <v>1209.6000000000001</v>
      </c>
      <c r="BB23" s="12">
        <v>0</v>
      </c>
      <c r="BC23">
        <v>380</v>
      </c>
      <c r="BD23" s="12">
        <v>500</v>
      </c>
      <c r="BE23" s="12">
        <v>1700</v>
      </c>
      <c r="BF23" s="12">
        <v>0</v>
      </c>
    </row>
    <row r="24" spans="1:58">
      <c r="A24">
        <v>23</v>
      </c>
      <c r="B24">
        <v>522868</v>
      </c>
      <c r="C24">
        <v>481914</v>
      </c>
      <c r="D24">
        <v>7356</v>
      </c>
      <c r="E24">
        <v>54787.025743658662</v>
      </c>
      <c r="X24" s="9">
        <v>42</v>
      </c>
      <c r="Y24" s="9">
        <v>1974</v>
      </c>
      <c r="Z24" s="9">
        <v>1659</v>
      </c>
      <c r="AA24" s="9">
        <v>530</v>
      </c>
      <c r="AB24" s="9">
        <v>35</v>
      </c>
      <c r="AC24" s="9">
        <v>2196</v>
      </c>
      <c r="AD24" s="12">
        <f>720+200</f>
        <v>920</v>
      </c>
      <c r="AF24" s="15">
        <f t="shared" si="0"/>
        <v>1840</v>
      </c>
      <c r="AG24" s="15">
        <v>200</v>
      </c>
      <c r="AH24" s="12">
        <v>400</v>
      </c>
      <c r="AI24" s="12">
        <v>50</v>
      </c>
      <c r="AJ24" s="12">
        <v>110</v>
      </c>
      <c r="AK24" s="9">
        <v>1563</v>
      </c>
      <c r="AL24" s="15">
        <v>200</v>
      </c>
      <c r="AM24" s="15">
        <v>20</v>
      </c>
      <c r="AN24" s="15">
        <v>200</v>
      </c>
      <c r="AO24" s="15">
        <v>50</v>
      </c>
      <c r="AP24" s="15">
        <v>150</v>
      </c>
      <c r="AQ24" s="17">
        <v>71</v>
      </c>
      <c r="AS24">
        <v>700</v>
      </c>
      <c r="AT24" s="12">
        <f>(42*24*24)+(121.8*((((BJ24/24)/24)/16000)^2)*(24*24))</f>
        <v>24192</v>
      </c>
      <c r="AU24" s="12"/>
      <c r="AW24" s="12">
        <f>(15*24*7)+(58.2*((((BK24/7)/24)/16000)^2)*(24*7))</f>
        <v>2520</v>
      </c>
      <c r="AX24" s="12">
        <v>0</v>
      </c>
      <c r="AY24" s="12">
        <f t="shared" si="3"/>
        <v>2678.4</v>
      </c>
      <c r="AZ24" s="12">
        <f t="shared" si="9"/>
        <v>6398.4</v>
      </c>
      <c r="BA24" s="12">
        <f>(3.6*24*15)+(17.9*((((BI24/31)/24)/1000)^2)*(24*15))</f>
        <v>1296</v>
      </c>
      <c r="BB24" s="12">
        <v>0</v>
      </c>
      <c r="BC24">
        <v>250</v>
      </c>
      <c r="BD24" s="12">
        <v>300</v>
      </c>
      <c r="BE24" s="12">
        <v>1300</v>
      </c>
      <c r="BF24" s="12">
        <v>0</v>
      </c>
    </row>
    <row r="25" spans="1:58">
      <c r="A25">
        <v>24</v>
      </c>
      <c r="B25">
        <v>489711</v>
      </c>
      <c r="C25">
        <v>445427</v>
      </c>
      <c r="D25">
        <v>7884</v>
      </c>
      <c r="E25">
        <v>36237.578899994231</v>
      </c>
      <c r="X25" s="9">
        <v>33</v>
      </c>
      <c r="Y25" s="9">
        <v>2781</v>
      </c>
      <c r="Z25" s="9">
        <v>1719</v>
      </c>
      <c r="AA25" s="9">
        <v>382</v>
      </c>
      <c r="AB25" s="9">
        <v>33</v>
      </c>
      <c r="AC25" s="9">
        <v>2016</v>
      </c>
      <c r="AD25" s="12">
        <f>720+200</f>
        <v>920</v>
      </c>
      <c r="AF25" s="15">
        <f t="shared" si="0"/>
        <v>1840</v>
      </c>
      <c r="AG25" s="15">
        <v>200</v>
      </c>
      <c r="AH25" s="12">
        <v>400</v>
      </c>
      <c r="AI25" s="12">
        <v>50</v>
      </c>
      <c r="AJ25" s="12">
        <v>110</v>
      </c>
      <c r="AK25" s="9">
        <v>1562</v>
      </c>
      <c r="AL25" s="15">
        <v>200</v>
      </c>
      <c r="AM25" s="15">
        <v>20</v>
      </c>
      <c r="AN25" s="15">
        <v>200</v>
      </c>
      <c r="AO25" s="15">
        <v>50</v>
      </c>
      <c r="AP25" s="15">
        <v>150</v>
      </c>
      <c r="AQ25" s="17">
        <v>40</v>
      </c>
      <c r="AS25">
        <v>700</v>
      </c>
      <c r="AT25" s="12">
        <f>(42*24*0)+(121.8*((((BJ25/24)/24)/16000)^2)*(24*0))</f>
        <v>0</v>
      </c>
      <c r="AU25" s="12"/>
      <c r="AW25" s="12">
        <f>(15*24*31)+(58.2*((((BK25/7)/24)/16000)^2)*(24*31))</f>
        <v>11160</v>
      </c>
      <c r="AX25" s="12">
        <v>0</v>
      </c>
      <c r="AY25" s="12">
        <f t="shared" si="3"/>
        <v>2678.4</v>
      </c>
      <c r="AZ25" s="12">
        <f t="shared" si="9"/>
        <v>6398.4</v>
      </c>
      <c r="BA25" s="12">
        <f>(3.6*24*0)+(17.9*((((BI25/31)/24)/1000)^2)*(24*0))</f>
        <v>0</v>
      </c>
      <c r="BB25" s="12">
        <v>0</v>
      </c>
      <c r="BC25">
        <v>250</v>
      </c>
      <c r="BD25" s="12">
        <v>300</v>
      </c>
      <c r="BE25" s="12">
        <v>1300</v>
      </c>
      <c r="BF25" s="12">
        <v>0</v>
      </c>
    </row>
    <row r="26" spans="1:58">
      <c r="A26">
        <v>25</v>
      </c>
      <c r="B26">
        <v>577100</v>
      </c>
      <c r="C26">
        <v>515303</v>
      </c>
      <c r="D26">
        <v>7393</v>
      </c>
      <c r="E26">
        <v>55760.536175665307</v>
      </c>
      <c r="X26" s="9">
        <v>537</v>
      </c>
      <c r="Y26" s="9">
        <v>1085</v>
      </c>
      <c r="Z26" s="9">
        <v>1863</v>
      </c>
      <c r="AA26" s="9">
        <v>706</v>
      </c>
      <c r="AB26" s="9">
        <v>30</v>
      </c>
      <c r="AC26" s="9">
        <v>1972</v>
      </c>
      <c r="AD26" s="12">
        <v>1200</v>
      </c>
      <c r="AF26" s="15">
        <f t="shared" si="0"/>
        <v>1840</v>
      </c>
      <c r="AG26" s="15">
        <v>200</v>
      </c>
      <c r="AH26" s="12">
        <v>400</v>
      </c>
      <c r="AI26" s="12">
        <v>50</v>
      </c>
      <c r="AJ26" s="12">
        <v>110</v>
      </c>
      <c r="AK26" s="9">
        <v>1302</v>
      </c>
      <c r="AL26" s="15">
        <v>200</v>
      </c>
      <c r="AM26" s="15">
        <v>20</v>
      </c>
      <c r="AN26" s="15">
        <v>200</v>
      </c>
      <c r="AO26" s="15">
        <v>50</v>
      </c>
      <c r="AP26" s="15">
        <v>150</v>
      </c>
      <c r="AQ26" s="17">
        <v>0</v>
      </c>
      <c r="AS26">
        <v>700</v>
      </c>
      <c r="AT26" s="12">
        <f>(42*24*28.5)+(121.8*((((BJ26/24)/24)/16000)^2)*(24*28.5))</f>
        <v>28728</v>
      </c>
      <c r="AU26" s="12"/>
      <c r="AW26" s="12">
        <f>(15*24*1.5)+(58.2*((((BK26/7)/24)/16000)^2)*(24*1.5))</f>
        <v>540</v>
      </c>
      <c r="AX26" s="12">
        <v>0</v>
      </c>
      <c r="AY26" s="12">
        <f t="shared" si="3"/>
        <v>2678.4</v>
      </c>
      <c r="AZ26" s="12">
        <f>1*((4.3*24*31)+(21*(((((BH26/2)/31)/24)/1250)^2)*(24*31)))</f>
        <v>3199.2</v>
      </c>
      <c r="BA26" s="12">
        <f>(3.6*24*0)+(17.9*((((BI26/31)/24)/1000)^2)*(24*0))</f>
        <v>0</v>
      </c>
      <c r="BB26" s="12">
        <v>0</v>
      </c>
      <c r="BC26">
        <v>250</v>
      </c>
      <c r="BD26" s="12">
        <v>300</v>
      </c>
      <c r="BE26" s="12">
        <v>1300</v>
      </c>
      <c r="BF26" s="12">
        <v>0</v>
      </c>
    </row>
    <row r="27" spans="1:58">
      <c r="A27">
        <v>26</v>
      </c>
      <c r="B27">
        <v>623660</v>
      </c>
      <c r="C27">
        <v>524879</v>
      </c>
      <c r="D27">
        <v>11705</v>
      </c>
      <c r="E27">
        <v>90182.052996347978</v>
      </c>
      <c r="F27">
        <v>2190</v>
      </c>
      <c r="G27">
        <v>714</v>
      </c>
      <c r="H27">
        <v>74</v>
      </c>
      <c r="I27">
        <v>1124.7551999999998</v>
      </c>
      <c r="J27">
        <v>1166</v>
      </c>
      <c r="K27">
        <v>0</v>
      </c>
      <c r="L27">
        <v>53</v>
      </c>
      <c r="M27" s="1">
        <v>9</v>
      </c>
      <c r="N27" s="1">
        <v>12</v>
      </c>
      <c r="O27" s="1"/>
      <c r="P27" s="1"/>
      <c r="Q27" s="1"/>
      <c r="S27" s="4">
        <v>0</v>
      </c>
      <c r="T27" s="4">
        <v>0</v>
      </c>
      <c r="U27" s="4"/>
      <c r="V27" s="4"/>
      <c r="X27" s="9">
        <v>1161</v>
      </c>
      <c r="Y27" s="9">
        <v>1047</v>
      </c>
      <c r="Z27" s="9">
        <v>4397</v>
      </c>
      <c r="AA27" s="9">
        <v>969</v>
      </c>
      <c r="AB27" s="9">
        <v>39</v>
      </c>
      <c r="AC27" s="9">
        <v>2692</v>
      </c>
      <c r="AD27" s="12">
        <v>1400</v>
      </c>
      <c r="AF27" s="15">
        <f t="shared" si="0"/>
        <v>1840</v>
      </c>
      <c r="AG27" s="15">
        <v>200</v>
      </c>
      <c r="AH27" s="12">
        <v>400</v>
      </c>
      <c r="AI27" s="12">
        <v>50</v>
      </c>
      <c r="AJ27" s="12">
        <v>110</v>
      </c>
      <c r="AK27" s="9">
        <v>24474</v>
      </c>
      <c r="AL27" s="15">
        <v>200</v>
      </c>
      <c r="AM27" s="15">
        <v>20</v>
      </c>
      <c r="AN27" s="15">
        <v>400</v>
      </c>
      <c r="AO27" s="15">
        <v>200</v>
      </c>
      <c r="AP27" s="15">
        <v>300</v>
      </c>
      <c r="AQ27" s="17">
        <v>0</v>
      </c>
      <c r="AS27">
        <v>700</v>
      </c>
      <c r="AT27" s="12">
        <f>(42*24*31)+(121.8*((((BJ27/24)/24)/16000)^2)*(24*31))</f>
        <v>31248</v>
      </c>
      <c r="AU27" s="12"/>
      <c r="AW27" s="12">
        <f>(15*24*0)+(58.2*((((BK27/7)/24)/16000)^2)*(24*0))</f>
        <v>0</v>
      </c>
      <c r="AX27" s="12">
        <f>(3.9*24*3)+(17.9*((((BF27/31)/24)/1000)^2)*(24*3))</f>
        <v>280.80931321540061</v>
      </c>
      <c r="AY27" s="12">
        <f t="shared" si="3"/>
        <v>2678.4</v>
      </c>
      <c r="AZ27" s="12">
        <f t="shared" ref="AZ27:AZ34" si="11">2*((4.3*24*31)+(21*(((((BH27/2)/31)/24)/1250)^2)*(24*31)))</f>
        <v>6398.4</v>
      </c>
      <c r="BA27" s="12">
        <f>(3.6*24*6)+(17.9*((((BI27/31)/24)/1000)^2)*(24*6))</f>
        <v>518.40000000000009</v>
      </c>
      <c r="BB27" s="12">
        <v>0</v>
      </c>
      <c r="BC27">
        <v>250</v>
      </c>
      <c r="BD27" s="12">
        <v>500</v>
      </c>
      <c r="BE27" s="12">
        <v>1900</v>
      </c>
      <c r="BF27" s="12">
        <v>2000</v>
      </c>
    </row>
    <row r="28" spans="1:58">
      <c r="A28">
        <v>27</v>
      </c>
      <c r="B28">
        <v>659170</v>
      </c>
      <c r="C28">
        <v>562317</v>
      </c>
      <c r="D28">
        <v>9355</v>
      </c>
      <c r="E28">
        <v>96740.417785606318</v>
      </c>
      <c r="F28">
        <v>2893</v>
      </c>
      <c r="G28">
        <v>1601</v>
      </c>
      <c r="H28">
        <v>155</v>
      </c>
      <c r="I28">
        <v>1752.3359999999998</v>
      </c>
      <c r="J28">
        <v>1645</v>
      </c>
      <c r="K28">
        <v>0</v>
      </c>
      <c r="L28">
        <v>93</v>
      </c>
      <c r="M28" s="2">
        <v>24</v>
      </c>
      <c r="N28" s="2">
        <v>38</v>
      </c>
      <c r="O28" s="2"/>
      <c r="P28" s="2"/>
      <c r="Q28" s="2"/>
      <c r="S28" s="5">
        <v>0</v>
      </c>
      <c r="T28" s="5">
        <v>0</v>
      </c>
      <c r="U28" s="5"/>
      <c r="V28" s="5"/>
      <c r="X28" s="9">
        <v>873</v>
      </c>
      <c r="Y28" s="9">
        <v>1867</v>
      </c>
      <c r="Z28" s="9">
        <v>1781</v>
      </c>
      <c r="AA28" s="9">
        <v>547</v>
      </c>
      <c r="AB28" s="9">
        <v>39</v>
      </c>
      <c r="AC28" s="9">
        <v>2848</v>
      </c>
      <c r="AD28" s="12">
        <v>1400</v>
      </c>
      <c r="AF28" s="15">
        <f t="shared" si="0"/>
        <v>1840</v>
      </c>
      <c r="AG28" s="15">
        <v>200</v>
      </c>
      <c r="AH28" s="12">
        <v>400</v>
      </c>
      <c r="AI28" s="12">
        <v>50</v>
      </c>
      <c r="AJ28" s="12">
        <v>110</v>
      </c>
      <c r="AK28" s="9">
        <v>24682</v>
      </c>
      <c r="AL28" s="15">
        <v>100</v>
      </c>
      <c r="AM28" s="15">
        <v>100</v>
      </c>
      <c r="AN28" s="15">
        <v>500</v>
      </c>
      <c r="AO28" s="15">
        <v>300</v>
      </c>
      <c r="AP28" s="15">
        <v>300</v>
      </c>
      <c r="AQ28" s="17">
        <v>0</v>
      </c>
      <c r="AS28">
        <v>700</v>
      </c>
      <c r="AT28" s="12">
        <f>(42*24*31)+(121.8*((((BJ28/24)/24)/16000)^2)*(24*31))</f>
        <v>31248</v>
      </c>
      <c r="AU28" s="12"/>
      <c r="AW28" s="12">
        <f>(15*24*0)+(58.2*((((BK28/7)/24)/16000)^2)*(24*0))</f>
        <v>0</v>
      </c>
      <c r="AX28" s="12">
        <f>2*((3.9*24*20)+(17.9*((((BF28/31)/24)/1000)^2)*(24*20)))</f>
        <v>3744.1241762053419</v>
      </c>
      <c r="AY28" s="12">
        <f t="shared" si="3"/>
        <v>2678.4</v>
      </c>
      <c r="AZ28" s="12">
        <f t="shared" si="11"/>
        <v>6398.4</v>
      </c>
      <c r="BA28" s="12">
        <f t="shared" ref="BA28:BA34" si="12">(3.6*24*30)+(17.9*((((BI28/31)/24)/1000)^2)*(24*30))</f>
        <v>2592</v>
      </c>
      <c r="BB28" s="12">
        <v>0</v>
      </c>
      <c r="BC28">
        <v>250</v>
      </c>
      <c r="BD28" s="12">
        <v>500</v>
      </c>
      <c r="BE28" s="12">
        <v>1900</v>
      </c>
      <c r="BF28" s="12">
        <v>2000</v>
      </c>
    </row>
    <row r="29" spans="1:58">
      <c r="A29">
        <v>28</v>
      </c>
      <c r="B29">
        <v>637510</v>
      </c>
      <c r="C29">
        <v>517737</v>
      </c>
      <c r="D29">
        <v>8008</v>
      </c>
      <c r="E29">
        <v>111731.89536960032</v>
      </c>
      <c r="F29">
        <v>2220</v>
      </c>
      <c r="G29">
        <v>931</v>
      </c>
      <c r="H29">
        <v>80</v>
      </c>
      <c r="I29">
        <v>7037.8703999999998</v>
      </c>
      <c r="J29">
        <v>6325</v>
      </c>
      <c r="K29">
        <v>0</v>
      </c>
      <c r="L29">
        <v>23</v>
      </c>
      <c r="M29" s="3">
        <v>21</v>
      </c>
      <c r="N29" s="3">
        <v>36</v>
      </c>
      <c r="O29" s="3"/>
      <c r="P29" s="3"/>
      <c r="Q29" s="3"/>
      <c r="S29" s="6">
        <v>0</v>
      </c>
      <c r="T29" s="6">
        <v>0</v>
      </c>
      <c r="U29" s="6"/>
      <c r="V29" s="6"/>
      <c r="X29" s="9">
        <v>594</v>
      </c>
      <c r="Y29" s="9">
        <v>553</v>
      </c>
      <c r="Z29" s="9">
        <v>2226</v>
      </c>
      <c r="AA29" s="9">
        <v>330</v>
      </c>
      <c r="AB29" s="9">
        <v>45</v>
      </c>
      <c r="AC29" s="9">
        <v>2760</v>
      </c>
      <c r="AD29" s="12">
        <v>1500</v>
      </c>
      <c r="AF29" s="15">
        <f t="shared" si="0"/>
        <v>1840</v>
      </c>
      <c r="AG29" s="15">
        <v>200</v>
      </c>
      <c r="AH29" s="12">
        <v>400</v>
      </c>
      <c r="AI29" s="12">
        <v>50</v>
      </c>
      <c r="AJ29" s="12">
        <v>110</v>
      </c>
      <c r="AK29" s="9">
        <v>39999</v>
      </c>
      <c r="AL29" s="15">
        <v>0</v>
      </c>
      <c r="AM29" s="15">
        <v>300</v>
      </c>
      <c r="AN29" s="15">
        <v>700</v>
      </c>
      <c r="AO29" s="15">
        <v>300</v>
      </c>
      <c r="AP29" s="15">
        <v>300</v>
      </c>
      <c r="AQ29" s="17">
        <v>0</v>
      </c>
      <c r="AS29">
        <v>800</v>
      </c>
      <c r="AT29" s="12">
        <f>(42*24*31)+(121.8*((((BJ29/24)/24)/16000)^2)*(24*31))</f>
        <v>31248</v>
      </c>
      <c r="AU29" s="12"/>
      <c r="AW29" s="12">
        <f>(15*24*0)+(58.2*((((BK29/7)/24)/16000)^2)*(24*0))</f>
        <v>0</v>
      </c>
      <c r="AX29" s="12">
        <f>0*((3.9*24*20)+(17.9*((((BF29/31)/24)/1000)^2)*(24*20)))</f>
        <v>0</v>
      </c>
      <c r="AY29" s="12">
        <f t="shared" si="3"/>
        <v>2678.4</v>
      </c>
      <c r="AZ29" s="12">
        <f t="shared" si="11"/>
        <v>6398.4</v>
      </c>
      <c r="BA29" s="12">
        <f t="shared" si="12"/>
        <v>2592</v>
      </c>
      <c r="BB29" s="12">
        <v>0</v>
      </c>
      <c r="BC29">
        <v>250</v>
      </c>
      <c r="BD29" s="12">
        <v>800</v>
      </c>
      <c r="BE29" s="12">
        <v>1900</v>
      </c>
      <c r="BF29" s="12">
        <v>5000</v>
      </c>
    </row>
    <row r="30" spans="1:58">
      <c r="A30">
        <v>29</v>
      </c>
      <c r="B30">
        <v>716760</v>
      </c>
      <c r="C30">
        <v>576390</v>
      </c>
      <c r="D30">
        <v>8616</v>
      </c>
      <c r="E30">
        <v>129508.95431103325</v>
      </c>
      <c r="F30">
        <v>1656</v>
      </c>
      <c r="G30">
        <v>578</v>
      </c>
      <c r="H30">
        <v>48</v>
      </c>
      <c r="I30">
        <v>13268.851199999999</v>
      </c>
      <c r="J30">
        <v>12422</v>
      </c>
      <c r="K30">
        <v>0</v>
      </c>
      <c r="L30">
        <v>9</v>
      </c>
      <c r="M30" s="2">
        <v>13</v>
      </c>
      <c r="N30" s="2">
        <v>26</v>
      </c>
      <c r="O30" s="2"/>
      <c r="P30" s="2"/>
      <c r="Q30" s="2"/>
      <c r="S30" s="5">
        <v>0</v>
      </c>
      <c r="T30" s="5">
        <v>0</v>
      </c>
      <c r="U30" s="5"/>
      <c r="V30" s="5"/>
      <c r="X30" s="9">
        <v>1218</v>
      </c>
      <c r="Y30" s="9">
        <v>810</v>
      </c>
      <c r="Z30" s="9">
        <v>2033</v>
      </c>
      <c r="AA30" s="9">
        <v>306</v>
      </c>
      <c r="AB30" s="9">
        <v>21</v>
      </c>
      <c r="AC30" s="9">
        <v>2728</v>
      </c>
      <c r="AD30" s="12">
        <v>1500</v>
      </c>
      <c r="AF30" s="15">
        <f t="shared" si="0"/>
        <v>1840</v>
      </c>
      <c r="AG30" s="15">
        <v>200</v>
      </c>
      <c r="AH30" s="12">
        <v>400</v>
      </c>
      <c r="AI30" s="12">
        <v>50</v>
      </c>
      <c r="AJ30" s="12">
        <v>110</v>
      </c>
      <c r="AK30" s="9">
        <v>40425</v>
      </c>
      <c r="AL30" s="15">
        <v>0</v>
      </c>
      <c r="AM30" s="15">
        <v>300</v>
      </c>
      <c r="AN30" s="15">
        <v>700</v>
      </c>
      <c r="AO30" s="15">
        <v>300</v>
      </c>
      <c r="AP30" s="15">
        <v>2300</v>
      </c>
      <c r="AQ30" s="17">
        <v>0</v>
      </c>
      <c r="AS30">
        <v>800</v>
      </c>
      <c r="AT30" s="12">
        <f>(42*24*31)+(121.8*((((BJ30/24)/24)/16000)^2)*(24*31))</f>
        <v>31248</v>
      </c>
      <c r="AU30" s="12"/>
      <c r="AW30" s="12">
        <f>(15*24*0)+(58.2*((((BK30/7)/24)/16000)^2)*(24*0))</f>
        <v>0</v>
      </c>
      <c r="AX30" s="12">
        <f>0*((3.9*24*20)+(17.9*((((BF30/31)/24)/1000)^2)*(24*20)))</f>
        <v>0</v>
      </c>
      <c r="AY30" s="12">
        <f t="shared" si="3"/>
        <v>2678.4</v>
      </c>
      <c r="AZ30" s="12">
        <f t="shared" si="11"/>
        <v>6398.4</v>
      </c>
      <c r="BA30" s="12">
        <f t="shared" si="12"/>
        <v>2592</v>
      </c>
      <c r="BB30" s="12">
        <v>0</v>
      </c>
      <c r="BC30">
        <v>300</v>
      </c>
      <c r="BD30" s="12">
        <v>800</v>
      </c>
      <c r="BE30" s="12">
        <v>1900</v>
      </c>
      <c r="BF30" s="12">
        <v>20640</v>
      </c>
    </row>
    <row r="31" spans="1:58">
      <c r="A31">
        <v>30</v>
      </c>
      <c r="B31">
        <v>705980</v>
      </c>
      <c r="C31">
        <v>581985</v>
      </c>
      <c r="D31">
        <v>8496</v>
      </c>
      <c r="E31">
        <v>115505.74040061916</v>
      </c>
      <c r="F31">
        <v>2307</v>
      </c>
      <c r="G31">
        <v>624</v>
      </c>
      <c r="H31">
        <v>55</v>
      </c>
      <c r="I31">
        <v>11932.185599999999</v>
      </c>
      <c r="J31">
        <v>11351</v>
      </c>
      <c r="K31">
        <v>0</v>
      </c>
      <c r="L31">
        <v>12</v>
      </c>
      <c r="M31" s="3">
        <v>10</v>
      </c>
      <c r="N31" s="3">
        <v>33</v>
      </c>
      <c r="O31" s="3"/>
      <c r="P31" s="3"/>
      <c r="Q31" s="3"/>
      <c r="S31" s="6">
        <v>0</v>
      </c>
      <c r="T31" s="6">
        <v>0</v>
      </c>
      <c r="U31" s="6"/>
      <c r="V31" s="6"/>
      <c r="X31" s="9">
        <v>1350</v>
      </c>
      <c r="Y31" s="9">
        <v>1187</v>
      </c>
      <c r="Z31" s="9">
        <v>1632</v>
      </c>
      <c r="AA31" s="9">
        <v>297</v>
      </c>
      <c r="AB31" s="9">
        <v>14</v>
      </c>
      <c r="AC31" s="9">
        <v>2516</v>
      </c>
      <c r="AD31" s="12">
        <v>1500</v>
      </c>
      <c r="AF31" s="15">
        <f t="shared" si="0"/>
        <v>1840</v>
      </c>
      <c r="AG31" s="15">
        <v>200</v>
      </c>
      <c r="AH31" s="12">
        <v>400</v>
      </c>
      <c r="AI31" s="12">
        <v>50</v>
      </c>
      <c r="AJ31" s="12">
        <v>110</v>
      </c>
      <c r="AK31" s="9">
        <v>41145</v>
      </c>
      <c r="AL31" s="15">
        <v>0</v>
      </c>
      <c r="AM31" s="15">
        <v>300</v>
      </c>
      <c r="AN31" s="15">
        <v>700</v>
      </c>
      <c r="AO31" s="15">
        <v>300</v>
      </c>
      <c r="AP31" s="15">
        <v>1000</v>
      </c>
      <c r="AQ31" s="17">
        <v>0</v>
      </c>
      <c r="AS31">
        <v>800</v>
      </c>
      <c r="AT31" s="12">
        <f>(42*24*31)+(121.8*((((BJ31/24)/24)/16000)^2)*(24*31))</f>
        <v>31248</v>
      </c>
      <c r="AU31" s="12"/>
      <c r="AW31" s="12">
        <f>(15*24*0)+(58.2*((((BK31/7)/24)/16000)^2)*(24*0))</f>
        <v>0</v>
      </c>
      <c r="AX31" s="12">
        <f>1*((3.9*24*14)+(17.9*((((BF31/31)/24)/1000)^2)*(24*14)))</f>
        <v>1310.7911550468261</v>
      </c>
      <c r="AY31" s="12">
        <f t="shared" si="3"/>
        <v>2678.4</v>
      </c>
      <c r="AZ31" s="12">
        <f t="shared" si="11"/>
        <v>6398.4</v>
      </c>
      <c r="BA31" s="12">
        <f t="shared" si="12"/>
        <v>2592</v>
      </c>
      <c r="BB31" s="12">
        <v>0</v>
      </c>
      <c r="BC31">
        <v>300</v>
      </c>
      <c r="BD31" s="12">
        <v>800</v>
      </c>
      <c r="BE31" s="12">
        <v>1900</v>
      </c>
      <c r="BF31" s="12">
        <v>6000</v>
      </c>
    </row>
    <row r="32" spans="1:58">
      <c r="A32">
        <v>31</v>
      </c>
      <c r="B32">
        <v>751986</v>
      </c>
      <c r="C32">
        <v>645684</v>
      </c>
      <c r="D32">
        <v>7212</v>
      </c>
      <c r="E32">
        <v>99726.671022185023</v>
      </c>
      <c r="F32">
        <v>2028</v>
      </c>
      <c r="G32">
        <v>846</v>
      </c>
      <c r="H32">
        <v>97</v>
      </c>
      <c r="I32">
        <v>10986.7392</v>
      </c>
      <c r="J32">
        <v>10008</v>
      </c>
      <c r="K32">
        <v>0</v>
      </c>
      <c r="L32">
        <v>44</v>
      </c>
      <c r="M32" s="2">
        <v>0</v>
      </c>
      <c r="N32" s="2">
        <v>53</v>
      </c>
      <c r="O32" s="2"/>
      <c r="P32" s="2"/>
      <c r="Q32" s="2"/>
      <c r="S32" s="5">
        <v>0</v>
      </c>
      <c r="T32" s="5">
        <v>0</v>
      </c>
      <c r="U32" s="5"/>
      <c r="V32" s="5"/>
      <c r="X32" s="9">
        <v>1107</v>
      </c>
      <c r="Y32" s="9">
        <v>969</v>
      </c>
      <c r="Z32" s="9">
        <v>504</v>
      </c>
      <c r="AA32" s="9">
        <v>353</v>
      </c>
      <c r="AB32" s="9">
        <v>41</v>
      </c>
      <c r="AC32" s="9">
        <v>2738</v>
      </c>
      <c r="AD32" s="12">
        <v>1500</v>
      </c>
      <c r="AF32" s="15">
        <f t="shared" si="0"/>
        <v>1840</v>
      </c>
      <c r="AG32" s="15">
        <v>200</v>
      </c>
      <c r="AH32" s="12">
        <v>400</v>
      </c>
      <c r="AI32" s="12">
        <v>50</v>
      </c>
      <c r="AJ32" s="12">
        <v>110</v>
      </c>
      <c r="AK32" s="9">
        <v>42791</v>
      </c>
      <c r="AL32" s="15">
        <v>0</v>
      </c>
      <c r="AM32" s="15">
        <v>300</v>
      </c>
      <c r="AN32" s="15">
        <v>700</v>
      </c>
      <c r="AO32" s="15">
        <v>300</v>
      </c>
      <c r="AP32" s="15">
        <v>200</v>
      </c>
      <c r="AQ32" s="17">
        <v>0</v>
      </c>
      <c r="AS32">
        <v>800</v>
      </c>
      <c r="AT32" s="12">
        <f>(42*24*16)+(121.8*((((BJ32/24)/24)/16000)^2)*(24*31))</f>
        <v>16128</v>
      </c>
      <c r="AU32" s="12"/>
      <c r="AW32" s="12">
        <f>(15*24*15)+(58.2*((((BK32/7)/24)/16000)^2)*(24*0))</f>
        <v>5400</v>
      </c>
      <c r="AX32" s="12">
        <f>1*((3.9*24*0)+(17.9*((((BF32/31)/24)/1000)^2)*(24*0)))</f>
        <v>0</v>
      </c>
      <c r="AY32" s="12">
        <f t="shared" si="3"/>
        <v>2678.4</v>
      </c>
      <c r="AZ32" s="12">
        <f t="shared" si="11"/>
        <v>6398.4</v>
      </c>
      <c r="BA32" s="12">
        <f t="shared" si="12"/>
        <v>2592</v>
      </c>
      <c r="BB32" s="12">
        <v>0</v>
      </c>
      <c r="BC32">
        <v>300</v>
      </c>
      <c r="BD32" s="12">
        <v>800</v>
      </c>
      <c r="BE32" s="12">
        <v>1900</v>
      </c>
      <c r="BF32" s="12">
        <v>1000</v>
      </c>
    </row>
    <row r="33" spans="1:58">
      <c r="A33">
        <v>32</v>
      </c>
      <c r="B33">
        <v>705280</v>
      </c>
      <c r="C33">
        <v>611889</v>
      </c>
      <c r="D33">
        <v>5696</v>
      </c>
      <c r="E33">
        <v>86054.985995277384</v>
      </c>
      <c r="F33">
        <v>1820</v>
      </c>
      <c r="G33">
        <v>705</v>
      </c>
      <c r="H33">
        <v>109</v>
      </c>
      <c r="I33">
        <v>4678.3296</v>
      </c>
      <c r="J33">
        <v>4294</v>
      </c>
      <c r="K33">
        <v>0</v>
      </c>
      <c r="L33">
        <v>86</v>
      </c>
      <c r="M33" s="3">
        <v>0</v>
      </c>
      <c r="N33" s="3">
        <v>23</v>
      </c>
      <c r="O33" s="3"/>
      <c r="P33" s="3"/>
      <c r="Q33" s="3"/>
      <c r="S33" s="6">
        <v>0</v>
      </c>
      <c r="T33" s="6">
        <v>0</v>
      </c>
      <c r="U33" s="6"/>
      <c r="V33" s="6"/>
      <c r="X33" s="9">
        <v>207</v>
      </c>
      <c r="Y33" s="9">
        <v>823</v>
      </c>
      <c r="Z33" s="9">
        <v>264</v>
      </c>
      <c r="AA33" s="9">
        <v>332</v>
      </c>
      <c r="AB33" s="9">
        <v>46</v>
      </c>
      <c r="AC33" s="9">
        <v>2524</v>
      </c>
      <c r="AD33" s="12">
        <v>1500</v>
      </c>
      <c r="AF33" s="15">
        <f t="shared" si="0"/>
        <v>1840</v>
      </c>
      <c r="AG33" s="15">
        <v>200</v>
      </c>
      <c r="AH33" s="12">
        <v>400</v>
      </c>
      <c r="AI33" s="12">
        <v>50</v>
      </c>
      <c r="AJ33" s="12">
        <v>110</v>
      </c>
      <c r="AK33" s="9">
        <v>26749</v>
      </c>
      <c r="AL33" s="15">
        <v>0</v>
      </c>
      <c r="AM33" s="15">
        <v>300</v>
      </c>
      <c r="AN33" s="15">
        <v>700</v>
      </c>
      <c r="AO33" s="15">
        <v>300</v>
      </c>
      <c r="AP33" s="15">
        <v>200</v>
      </c>
      <c r="AQ33" s="17">
        <v>0</v>
      </c>
      <c r="AS33">
        <v>800</v>
      </c>
      <c r="AT33" s="12">
        <f>(42*24*30)+(121.8*((((BJ33/24)/24)/16000)^2)*(24*30))</f>
        <v>30240</v>
      </c>
      <c r="AU33" s="12"/>
      <c r="AW33" s="12">
        <f>(15*24*0)+(58.2*((((BK33/7)/24)/16000)^2)*(24*0))</f>
        <v>0</v>
      </c>
      <c r="AX33" s="12">
        <f>1*((3.9*24*14)+(17.9*((((BF33/31)/24)/1000)^2)*(24*14)))</f>
        <v>1310.4108654179672</v>
      </c>
      <c r="AY33" s="12">
        <f t="shared" si="3"/>
        <v>2678.4</v>
      </c>
      <c r="AZ33" s="12">
        <f t="shared" si="11"/>
        <v>6398.4</v>
      </c>
      <c r="BA33" s="12">
        <f t="shared" si="12"/>
        <v>2592</v>
      </c>
      <c r="BB33" s="12">
        <v>0</v>
      </c>
      <c r="BC33">
        <v>300</v>
      </c>
      <c r="BD33" s="12">
        <v>800</v>
      </c>
      <c r="BE33" s="12">
        <v>1900</v>
      </c>
      <c r="BF33" s="12">
        <v>1000</v>
      </c>
    </row>
    <row r="34" spans="1:58">
      <c r="A34">
        <v>33</v>
      </c>
      <c r="B34">
        <v>682706</v>
      </c>
      <c r="C34">
        <v>610378</v>
      </c>
      <c r="D34">
        <v>5454</v>
      </c>
      <c r="E34">
        <v>66769.182875084225</v>
      </c>
      <c r="F34">
        <v>1806</v>
      </c>
      <c r="G34">
        <v>708</v>
      </c>
      <c r="H34">
        <v>110</v>
      </c>
      <c r="I34">
        <v>2518.4735999999998</v>
      </c>
      <c r="J34">
        <v>2249</v>
      </c>
      <c r="K34">
        <v>0</v>
      </c>
      <c r="L34">
        <v>73</v>
      </c>
      <c r="M34" s="2">
        <v>0</v>
      </c>
      <c r="N34" s="2">
        <v>37</v>
      </c>
      <c r="O34" s="2"/>
      <c r="P34" s="2"/>
      <c r="Q34" s="2"/>
      <c r="S34" s="5">
        <v>0</v>
      </c>
      <c r="T34" s="5">
        <v>0</v>
      </c>
      <c r="U34" s="5"/>
      <c r="V34" s="5"/>
      <c r="X34" s="9">
        <v>39</v>
      </c>
      <c r="Y34" s="9">
        <v>799</v>
      </c>
      <c r="Z34" s="9">
        <v>64</v>
      </c>
      <c r="AA34" s="9">
        <v>543</v>
      </c>
      <c r="AB34" s="9">
        <v>75</v>
      </c>
      <c r="AC34" s="9">
        <v>2434</v>
      </c>
      <c r="AD34" s="12">
        <v>1500</v>
      </c>
      <c r="AF34" s="15">
        <f t="shared" si="0"/>
        <v>1840</v>
      </c>
      <c r="AG34" s="15">
        <v>200</v>
      </c>
      <c r="AH34" s="12">
        <v>400</v>
      </c>
      <c r="AI34" s="12">
        <v>50</v>
      </c>
      <c r="AJ34" s="12">
        <v>110</v>
      </c>
      <c r="AK34" s="9">
        <v>7565</v>
      </c>
      <c r="AL34" s="15">
        <v>0</v>
      </c>
      <c r="AM34" s="15">
        <v>300</v>
      </c>
      <c r="AN34" s="15">
        <v>500</v>
      </c>
      <c r="AO34" s="15">
        <v>300</v>
      </c>
      <c r="AP34" s="15">
        <v>200</v>
      </c>
      <c r="AQ34" s="15">
        <v>0</v>
      </c>
      <c r="AS34">
        <v>800</v>
      </c>
      <c r="AT34" s="12">
        <f>(42*24*30)+(121.8*((((BJ34/24)/30)/16000)^2)*(24*30))</f>
        <v>30240</v>
      </c>
      <c r="AU34" s="12"/>
      <c r="AW34" s="12">
        <f>(15*24*1)+(58.2*((((BK34/1)/24)/6300)^2)*(24*1))</f>
        <v>360</v>
      </c>
      <c r="AX34" s="12">
        <f t="shared" ref="AX34:AX40" si="13">1*((3.9*24*0)+(17.9*((((BF34/31)/24)/1000)^2)*(24*0)))</f>
        <v>0</v>
      </c>
      <c r="AY34" s="12">
        <f t="shared" si="3"/>
        <v>2678.4</v>
      </c>
      <c r="AZ34" s="12">
        <f t="shared" si="11"/>
        <v>6398.4</v>
      </c>
      <c r="BA34" s="12">
        <f t="shared" si="12"/>
        <v>2592</v>
      </c>
      <c r="BB34" s="12">
        <v>0</v>
      </c>
      <c r="BC34">
        <v>300</v>
      </c>
      <c r="BD34" s="12">
        <v>800</v>
      </c>
      <c r="BE34" s="12">
        <v>1900</v>
      </c>
      <c r="BF34" s="12">
        <v>0</v>
      </c>
    </row>
    <row r="35" spans="1:58">
      <c r="A35">
        <v>34</v>
      </c>
      <c r="B35">
        <v>622297</v>
      </c>
      <c r="C35">
        <v>575207</v>
      </c>
      <c r="D35">
        <v>4403</v>
      </c>
      <c r="E35">
        <v>43665.81279439733</v>
      </c>
      <c r="F35">
        <v>1656</v>
      </c>
      <c r="G35">
        <v>719</v>
      </c>
      <c r="H35">
        <v>82</v>
      </c>
      <c r="I35">
        <v>647.95679999999993</v>
      </c>
      <c r="J35">
        <v>869</v>
      </c>
      <c r="K35">
        <v>0</v>
      </c>
      <c r="L35">
        <v>70</v>
      </c>
      <c r="M35" s="3">
        <v>0</v>
      </c>
      <c r="N35" s="3">
        <v>12</v>
      </c>
      <c r="O35" s="3"/>
      <c r="P35" s="3"/>
      <c r="Q35" s="3"/>
      <c r="S35" s="6">
        <v>0</v>
      </c>
      <c r="T35" s="6">
        <v>0</v>
      </c>
      <c r="U35" s="6"/>
      <c r="V35" s="6"/>
      <c r="X35" s="9">
        <v>42</v>
      </c>
      <c r="Y35" s="9">
        <v>741</v>
      </c>
      <c r="Z35" s="9">
        <v>12</v>
      </c>
      <c r="AA35" s="9">
        <v>407</v>
      </c>
      <c r="AB35" s="9">
        <v>19</v>
      </c>
      <c r="AC35" s="9">
        <v>2262</v>
      </c>
      <c r="AD35" s="12">
        <v>920</v>
      </c>
      <c r="AF35" s="15">
        <f t="shared" si="0"/>
        <v>1840</v>
      </c>
      <c r="AG35" s="15">
        <v>200</v>
      </c>
      <c r="AH35" s="12">
        <v>400</v>
      </c>
      <c r="AI35" s="12">
        <v>50</v>
      </c>
      <c r="AJ35" s="12">
        <v>110</v>
      </c>
      <c r="AK35" s="9">
        <v>5748</v>
      </c>
      <c r="AL35" s="15">
        <v>0</v>
      </c>
      <c r="AM35" s="15">
        <v>100</v>
      </c>
      <c r="AN35" s="15">
        <v>300</v>
      </c>
      <c r="AO35" s="15">
        <v>100</v>
      </c>
      <c r="AP35" s="15">
        <v>150</v>
      </c>
      <c r="AQ35" s="15">
        <v>0</v>
      </c>
      <c r="AS35">
        <v>500</v>
      </c>
      <c r="AT35" s="12">
        <f>(42*24*0)+(121.8*((((BJ35/24)/30)/16000)^2)*(24*0))</f>
        <v>0</v>
      </c>
      <c r="AU35" s="12"/>
      <c r="AW35" s="12">
        <f>(15*24*30)+(58.2*((((BK35/30)/24)/6300)^2)*(24*30))</f>
        <v>10800</v>
      </c>
      <c r="AX35" s="12">
        <f t="shared" si="13"/>
        <v>0</v>
      </c>
      <c r="AY35" s="12">
        <f>(3.6*24*30)+(17.9*((((BG35/30)/24)/1000)^2)*(24*30))</f>
        <v>2592</v>
      </c>
      <c r="AZ35" s="12">
        <f t="shared" ref="AZ35:AZ40" si="14">2*((4.3*24*30)+(21*(((((BH35/2)/30)/24)/1250)^2)*(24*30)))</f>
        <v>6191.9999999999991</v>
      </c>
      <c r="BA35" s="12">
        <f t="shared" ref="BA35:BA45" si="15">(3.6*24*30)+(17.9*((((BI35/30)/24)/1000)^2)*(24*30))</f>
        <v>2592</v>
      </c>
      <c r="BB35" s="12">
        <v>0</v>
      </c>
      <c r="BC35">
        <v>300</v>
      </c>
      <c r="BD35" s="12">
        <v>400</v>
      </c>
      <c r="BE35" s="12">
        <v>1900</v>
      </c>
      <c r="BF35" s="12">
        <v>0</v>
      </c>
    </row>
    <row r="36" spans="1:58">
      <c r="A36">
        <v>35</v>
      </c>
      <c r="B36">
        <v>645358</v>
      </c>
      <c r="C36">
        <v>587446</v>
      </c>
      <c r="D36">
        <v>4487</v>
      </c>
      <c r="E36">
        <v>55001.51263657002</v>
      </c>
      <c r="F36">
        <v>2831</v>
      </c>
      <c r="G36">
        <v>769</v>
      </c>
      <c r="H36">
        <v>59</v>
      </c>
      <c r="I36">
        <v>167.08319999999998</v>
      </c>
      <c r="J36">
        <v>201</v>
      </c>
      <c r="K36">
        <v>0</v>
      </c>
      <c r="L36">
        <v>59</v>
      </c>
      <c r="M36" s="2">
        <v>0</v>
      </c>
      <c r="N36" s="2">
        <v>0</v>
      </c>
      <c r="O36" s="2"/>
      <c r="P36" s="2"/>
      <c r="Q36" s="2"/>
      <c r="S36" s="5">
        <v>0</v>
      </c>
      <c r="T36" s="5">
        <v>0</v>
      </c>
      <c r="U36" s="5"/>
      <c r="V36" s="5"/>
      <c r="X36" s="9">
        <v>405</v>
      </c>
      <c r="Y36" s="9">
        <v>1268</v>
      </c>
      <c r="Z36" s="9">
        <v>0</v>
      </c>
      <c r="AA36" s="9">
        <v>320</v>
      </c>
      <c r="AB36" s="9">
        <v>15</v>
      </c>
      <c r="AC36" s="9">
        <v>1559</v>
      </c>
      <c r="AD36" s="12">
        <v>920</v>
      </c>
      <c r="AF36" s="15">
        <f t="shared" si="0"/>
        <v>1840</v>
      </c>
      <c r="AG36" s="15">
        <v>200</v>
      </c>
      <c r="AH36" s="12">
        <v>400</v>
      </c>
      <c r="AI36" s="12">
        <v>50</v>
      </c>
      <c r="AJ36" s="12">
        <v>110</v>
      </c>
      <c r="AK36" s="9">
        <v>1455</v>
      </c>
      <c r="AL36" s="15">
        <v>0</v>
      </c>
      <c r="AM36" s="15">
        <v>20</v>
      </c>
      <c r="AN36" s="15">
        <v>200</v>
      </c>
      <c r="AO36" s="15">
        <v>50</v>
      </c>
      <c r="AP36" s="15">
        <v>150</v>
      </c>
      <c r="AQ36" s="15">
        <v>0</v>
      </c>
      <c r="AS36">
        <v>500</v>
      </c>
      <c r="AT36" s="12">
        <f>(42*24*19)+(121.8*((((BJ36/24)/19)/16000)^2)*(24*19))</f>
        <v>19152</v>
      </c>
      <c r="AU36" s="12"/>
      <c r="AW36" s="12">
        <f>(12*24*30)+(58.2*((((BK36/12)/24)/6300)^2)*(24*12))</f>
        <v>8640</v>
      </c>
      <c r="AX36" s="12">
        <f t="shared" si="13"/>
        <v>0</v>
      </c>
      <c r="AY36" s="12">
        <f>(3.6*24*30)+(17.9*((((BG36/30)/24)/1000)^2)*(24*30))</f>
        <v>2592</v>
      </c>
      <c r="AZ36" s="12">
        <f t="shared" si="14"/>
        <v>6191.9999999999991</v>
      </c>
      <c r="BA36" s="12">
        <f t="shared" si="15"/>
        <v>2592</v>
      </c>
      <c r="BB36" s="12">
        <v>0</v>
      </c>
      <c r="BC36">
        <v>300</v>
      </c>
      <c r="BD36" s="12">
        <v>300</v>
      </c>
      <c r="BE36" s="12">
        <v>1300</v>
      </c>
      <c r="BF36" s="12">
        <v>0</v>
      </c>
    </row>
    <row r="37" spans="1:58">
      <c r="A37">
        <v>36</v>
      </c>
      <c r="B37">
        <v>626707</v>
      </c>
      <c r="C37">
        <v>567632</v>
      </c>
      <c r="D37">
        <v>3857</v>
      </c>
      <c r="E37">
        <v>55036.352169904269</v>
      </c>
      <c r="F37">
        <v>1602</v>
      </c>
      <c r="G37">
        <v>671</v>
      </c>
      <c r="H37">
        <v>156</v>
      </c>
      <c r="I37">
        <v>20.375999999999998</v>
      </c>
      <c r="J37">
        <v>31</v>
      </c>
      <c r="K37">
        <v>0</v>
      </c>
      <c r="L37">
        <v>156</v>
      </c>
      <c r="M37" s="3">
        <v>0</v>
      </c>
      <c r="N37" s="3">
        <v>0</v>
      </c>
      <c r="O37" s="3"/>
      <c r="P37" s="3"/>
      <c r="Q37" s="3"/>
      <c r="S37" s="6">
        <v>0</v>
      </c>
      <c r="T37" s="6">
        <v>0</v>
      </c>
      <c r="U37" s="6"/>
      <c r="V37" s="6"/>
      <c r="X37" s="9">
        <v>75</v>
      </c>
      <c r="Y37" s="9">
        <v>715</v>
      </c>
      <c r="Z37" s="9">
        <v>0</v>
      </c>
      <c r="AA37" s="9">
        <v>350</v>
      </c>
      <c r="AB37" s="9">
        <v>36</v>
      </c>
      <c r="AC37" s="9">
        <v>1761</v>
      </c>
      <c r="AD37" s="12">
        <v>920</v>
      </c>
      <c r="AF37" s="15">
        <f t="shared" si="0"/>
        <v>1840</v>
      </c>
      <c r="AG37" s="15">
        <v>200</v>
      </c>
      <c r="AH37" s="12">
        <v>400</v>
      </c>
      <c r="AI37" s="12">
        <v>50</v>
      </c>
      <c r="AJ37" s="12">
        <v>110</v>
      </c>
      <c r="AK37" s="9">
        <v>1823</v>
      </c>
      <c r="AL37" s="15">
        <v>0</v>
      </c>
      <c r="AM37" s="15">
        <v>20</v>
      </c>
      <c r="AN37" s="15">
        <v>200</v>
      </c>
      <c r="AO37" s="15">
        <v>50</v>
      </c>
      <c r="AP37" s="15">
        <v>150</v>
      </c>
      <c r="AQ37" s="15">
        <v>0</v>
      </c>
      <c r="AS37">
        <v>500</v>
      </c>
      <c r="AT37" s="12">
        <f>(42*24*24)+(121.8*((((BJ37/24)/24)/16000)^2)*(24*24))</f>
        <v>24192</v>
      </c>
      <c r="AU37" s="12"/>
      <c r="AW37" s="12">
        <f>(7*24*30)+(58.2*((((BK37/7)/24)/6300)^2)*(24*7))</f>
        <v>5040</v>
      </c>
      <c r="AX37" s="12">
        <f t="shared" si="13"/>
        <v>0</v>
      </c>
      <c r="AY37" s="12">
        <f>(3.6*24*31)+(17.9*((((BG37/31)/24)/1000)^2)*(24*31))</f>
        <v>2678.4</v>
      </c>
      <c r="AZ37" s="12">
        <f t="shared" si="14"/>
        <v>6191.9999999999991</v>
      </c>
      <c r="BA37" s="12">
        <f t="shared" si="15"/>
        <v>2592</v>
      </c>
      <c r="BB37" s="12">
        <v>0</v>
      </c>
      <c r="BC37">
        <v>100</v>
      </c>
      <c r="BD37" s="12">
        <v>300</v>
      </c>
      <c r="BE37" s="12">
        <v>1300</v>
      </c>
      <c r="BF37" s="12">
        <v>0</v>
      </c>
    </row>
    <row r="38" spans="1:58">
      <c r="A38">
        <v>37</v>
      </c>
      <c r="B38">
        <v>640050</v>
      </c>
      <c r="C38">
        <v>574689</v>
      </c>
      <c r="D38">
        <v>4519</v>
      </c>
      <c r="E38">
        <v>60696.833385869795</v>
      </c>
      <c r="F38">
        <v>1369</v>
      </c>
      <c r="G38">
        <v>802</v>
      </c>
      <c r="H38">
        <v>54</v>
      </c>
      <c r="I38">
        <v>721.31039999999996</v>
      </c>
      <c r="J38">
        <v>690</v>
      </c>
      <c r="K38">
        <v>0</v>
      </c>
      <c r="L38">
        <v>35</v>
      </c>
      <c r="M38" s="2">
        <v>0</v>
      </c>
      <c r="N38" s="2">
        <v>19</v>
      </c>
      <c r="O38" s="2"/>
      <c r="P38" s="2"/>
      <c r="Q38" s="2"/>
      <c r="S38" s="5">
        <v>0</v>
      </c>
      <c r="T38" s="5">
        <v>0</v>
      </c>
      <c r="U38" s="5"/>
      <c r="V38" s="5"/>
      <c r="X38" s="9">
        <v>147</v>
      </c>
      <c r="Y38" s="9">
        <v>622</v>
      </c>
      <c r="Z38" s="9">
        <v>0</v>
      </c>
      <c r="AA38" s="9">
        <v>401</v>
      </c>
      <c r="AB38" s="9">
        <v>35</v>
      </c>
      <c r="AC38" s="9">
        <v>2114</v>
      </c>
      <c r="AD38" s="12">
        <v>1200</v>
      </c>
      <c r="AF38" s="15">
        <f t="shared" si="0"/>
        <v>1840</v>
      </c>
      <c r="AG38" s="15">
        <v>200</v>
      </c>
      <c r="AH38" s="12">
        <v>400</v>
      </c>
      <c r="AI38" s="12">
        <v>50</v>
      </c>
      <c r="AJ38" s="12">
        <v>110</v>
      </c>
      <c r="AK38" s="9">
        <v>3071</v>
      </c>
      <c r="AL38" s="15">
        <v>0</v>
      </c>
      <c r="AM38" s="15">
        <v>20</v>
      </c>
      <c r="AN38" s="15">
        <v>200</v>
      </c>
      <c r="AO38" s="15">
        <v>50</v>
      </c>
      <c r="AP38" s="15">
        <v>150</v>
      </c>
      <c r="AQ38" s="15">
        <v>0</v>
      </c>
      <c r="AS38">
        <v>900</v>
      </c>
      <c r="AT38" s="12">
        <f>(42*24*30)+(121.8*((((BJ38/24)/30)/16000)^2)*(24*30))</f>
        <v>30240</v>
      </c>
      <c r="AU38" s="12"/>
      <c r="AW38" s="12">
        <f>(0*24*30)+(58.2*((((BK38/7)/24)/6300)^2)*(24*0))</f>
        <v>0</v>
      </c>
      <c r="AX38" s="12">
        <f t="shared" si="13"/>
        <v>0</v>
      </c>
      <c r="AY38" s="12">
        <f>(3.6*24*30)+(17.9*((((BG38/30)/24)/1000)^2)*(24*30))</f>
        <v>2592</v>
      </c>
      <c r="AZ38" s="12">
        <f t="shared" si="14"/>
        <v>6191.9999999999991</v>
      </c>
      <c r="BA38" s="12">
        <f t="shared" si="15"/>
        <v>2592</v>
      </c>
      <c r="BB38" s="12">
        <v>0</v>
      </c>
      <c r="BC38">
        <v>100</v>
      </c>
      <c r="BD38" s="12">
        <v>300</v>
      </c>
      <c r="BE38" s="12">
        <v>1300</v>
      </c>
      <c r="BF38" s="12">
        <v>0</v>
      </c>
    </row>
    <row r="39" spans="1:58">
      <c r="A39">
        <v>38</v>
      </c>
      <c r="B39">
        <v>727000</v>
      </c>
      <c r="C39">
        <v>643143</v>
      </c>
      <c r="D39">
        <v>6080</v>
      </c>
      <c r="E39">
        <v>76372.718869728094</v>
      </c>
      <c r="F39">
        <v>2336</v>
      </c>
      <c r="G39">
        <v>707</v>
      </c>
      <c r="H39">
        <v>83</v>
      </c>
      <c r="I39">
        <v>4425.6671999999999</v>
      </c>
      <c r="J39">
        <v>4217</v>
      </c>
      <c r="K39">
        <v>50.18</v>
      </c>
      <c r="L39">
        <v>32</v>
      </c>
      <c r="M39" s="3">
        <v>0</v>
      </c>
      <c r="N39" s="3">
        <v>51</v>
      </c>
      <c r="O39" s="3"/>
      <c r="P39" s="3"/>
      <c r="Q39" s="3"/>
      <c r="S39" s="6">
        <v>0</v>
      </c>
      <c r="T39" s="6">
        <v>50.18</v>
      </c>
      <c r="U39" s="6"/>
      <c r="V39" s="6"/>
      <c r="X39" s="9">
        <v>381</v>
      </c>
      <c r="Y39" s="9">
        <v>1037</v>
      </c>
      <c r="Z39" s="9">
        <v>0</v>
      </c>
      <c r="AA39" s="9">
        <v>351</v>
      </c>
      <c r="AB39" s="9">
        <v>807</v>
      </c>
      <c r="AC39" s="9">
        <v>2104</v>
      </c>
      <c r="AD39" s="12">
        <v>1400</v>
      </c>
      <c r="AF39" s="15">
        <f t="shared" si="0"/>
        <v>1840</v>
      </c>
      <c r="AG39" s="15">
        <v>200</v>
      </c>
      <c r="AH39" s="12">
        <v>400</v>
      </c>
      <c r="AI39" s="12">
        <v>50</v>
      </c>
      <c r="AJ39" s="12">
        <v>110</v>
      </c>
      <c r="AK39" s="9">
        <v>11111</v>
      </c>
      <c r="AL39" s="15">
        <v>0</v>
      </c>
      <c r="AM39" s="15">
        <v>20</v>
      </c>
      <c r="AN39" s="15">
        <v>200</v>
      </c>
      <c r="AO39" s="15">
        <v>50</v>
      </c>
      <c r="AP39" s="15">
        <v>150</v>
      </c>
      <c r="AQ39" s="15">
        <v>0</v>
      </c>
      <c r="AS39">
        <v>900</v>
      </c>
      <c r="AT39" s="12">
        <f>(42*24*31)+(121.8*((((BJ39/24)/30)/16000)^2)*(24*31))</f>
        <v>31248</v>
      </c>
      <c r="AU39" s="12"/>
      <c r="AW39" s="12">
        <f>(0*24*30)+(58.2*((((BK39/7)/24)/6300)^2)*(24*0))</f>
        <v>0</v>
      </c>
      <c r="AX39" s="12">
        <f t="shared" si="13"/>
        <v>0</v>
      </c>
      <c r="AY39" s="12">
        <f>(3.6*24*30)+(17.9*((((BG39/30)/24)/1000)^2)*(24*30))</f>
        <v>2592</v>
      </c>
      <c r="AZ39" s="12">
        <f t="shared" si="14"/>
        <v>6191.9999999999991</v>
      </c>
      <c r="BA39" s="12">
        <f t="shared" si="15"/>
        <v>2592</v>
      </c>
      <c r="BB39" s="12">
        <v>0</v>
      </c>
      <c r="BC39">
        <v>100</v>
      </c>
      <c r="BD39" s="12">
        <v>300</v>
      </c>
      <c r="BE39" s="12">
        <v>1300</v>
      </c>
      <c r="BF39" s="12">
        <v>2000</v>
      </c>
    </row>
    <row r="40" spans="1:58">
      <c r="A40">
        <v>39</v>
      </c>
      <c r="B40">
        <v>792570</v>
      </c>
      <c r="C40">
        <v>719489</v>
      </c>
      <c r="D40">
        <v>5934</v>
      </c>
      <c r="E40">
        <v>67116.186240217125</v>
      </c>
      <c r="F40">
        <v>1354</v>
      </c>
      <c r="G40">
        <v>944</v>
      </c>
      <c r="H40">
        <v>6</v>
      </c>
      <c r="I40">
        <v>14625.8928</v>
      </c>
      <c r="J40">
        <v>9567</v>
      </c>
      <c r="K40">
        <v>4819</v>
      </c>
      <c r="L40">
        <v>6</v>
      </c>
      <c r="M40" s="2">
        <v>0</v>
      </c>
      <c r="N40" s="2">
        <v>0</v>
      </c>
      <c r="O40" s="2"/>
      <c r="P40" s="2"/>
      <c r="Q40" s="2"/>
      <c r="S40" s="5">
        <v>2765</v>
      </c>
      <c r="T40" s="5">
        <v>2054</v>
      </c>
      <c r="U40" s="5"/>
      <c r="V40" s="5"/>
      <c r="X40" s="9">
        <v>441</v>
      </c>
      <c r="Y40" s="9">
        <v>597</v>
      </c>
      <c r="Z40" s="9">
        <v>0</v>
      </c>
      <c r="AA40" s="9">
        <v>457</v>
      </c>
      <c r="AB40" s="9">
        <v>1267</v>
      </c>
      <c r="AC40" s="9">
        <v>1772</v>
      </c>
      <c r="AD40" s="12">
        <v>1400</v>
      </c>
      <c r="AF40" s="15">
        <f t="shared" si="0"/>
        <v>1840</v>
      </c>
      <c r="AG40" s="15">
        <v>200</v>
      </c>
      <c r="AH40" s="12">
        <v>400</v>
      </c>
      <c r="AI40" s="12">
        <v>50</v>
      </c>
      <c r="AJ40" s="12">
        <v>110</v>
      </c>
      <c r="AK40" s="9">
        <v>793</v>
      </c>
      <c r="AL40" s="15">
        <v>0</v>
      </c>
      <c r="AM40" s="15">
        <v>20</v>
      </c>
      <c r="AN40" s="15">
        <v>200</v>
      </c>
      <c r="AO40" s="15">
        <v>50</v>
      </c>
      <c r="AP40" s="15">
        <v>1000</v>
      </c>
      <c r="AQ40" s="15">
        <v>0</v>
      </c>
      <c r="AS40">
        <v>900</v>
      </c>
      <c r="AT40" s="12">
        <f>(42*24*30)+(121.8*((((BJ40/24)/30)/16000)^2)*(24*30))</f>
        <v>30240</v>
      </c>
      <c r="AU40" s="12"/>
      <c r="AW40" s="12">
        <f>(0*24*30)+(58.2*((((BK40/7)/24)/6300)^2)*(24*0))</f>
        <v>0</v>
      </c>
      <c r="AX40" s="12">
        <f t="shared" si="13"/>
        <v>0</v>
      </c>
      <c r="AY40" s="12">
        <f>(3.6*24*30)+(17.9*((((BG40/30)/24)/1000)^2)*(24*30))</f>
        <v>2592</v>
      </c>
      <c r="AZ40" s="12">
        <f t="shared" si="14"/>
        <v>6191.9999999999991</v>
      </c>
      <c r="BA40" s="12">
        <f t="shared" si="15"/>
        <v>2592</v>
      </c>
      <c r="BB40" s="12">
        <v>0</v>
      </c>
      <c r="BC40">
        <v>100</v>
      </c>
      <c r="BD40" s="12">
        <v>500</v>
      </c>
      <c r="BE40" s="12">
        <v>1300</v>
      </c>
      <c r="BF40" s="12">
        <v>1000</v>
      </c>
    </row>
    <row r="41" spans="1:58">
      <c r="A41">
        <v>40</v>
      </c>
      <c r="B41">
        <v>792310</v>
      </c>
      <c r="C41">
        <v>702147</v>
      </c>
      <c r="D41">
        <v>6262</v>
      </c>
      <c r="E41">
        <v>83852.231171569249</v>
      </c>
      <c r="F41">
        <v>1129</v>
      </c>
      <c r="G41">
        <v>664</v>
      </c>
      <c r="H41">
        <v>0</v>
      </c>
      <c r="I41">
        <v>23081.932799999999</v>
      </c>
      <c r="J41">
        <v>16247</v>
      </c>
      <c r="K41">
        <v>6274</v>
      </c>
      <c r="L41">
        <v>0</v>
      </c>
      <c r="M41" s="3">
        <v>0</v>
      </c>
      <c r="N41" s="3">
        <v>0</v>
      </c>
      <c r="O41" s="3"/>
      <c r="P41" s="3"/>
      <c r="Q41" s="3"/>
      <c r="S41" s="6">
        <v>2906</v>
      </c>
      <c r="T41" s="6">
        <v>3368</v>
      </c>
      <c r="U41" s="6"/>
      <c r="V41" s="6"/>
      <c r="X41" s="9">
        <v>765</v>
      </c>
      <c r="Y41" s="9">
        <v>495</v>
      </c>
      <c r="Z41" s="9">
        <v>0</v>
      </c>
      <c r="AA41" s="9">
        <v>615</v>
      </c>
      <c r="AB41" s="9">
        <v>1253</v>
      </c>
      <c r="AC41" s="9">
        <v>1634</v>
      </c>
      <c r="AD41" s="12">
        <v>1500</v>
      </c>
      <c r="AF41" s="15">
        <f t="shared" si="0"/>
        <v>1840</v>
      </c>
      <c r="AG41" s="15">
        <v>200</v>
      </c>
      <c r="AH41" s="12">
        <v>400</v>
      </c>
      <c r="AI41" s="12">
        <v>50</v>
      </c>
      <c r="AJ41" s="12">
        <v>110</v>
      </c>
      <c r="AK41" s="9">
        <v>0</v>
      </c>
      <c r="AL41" s="15">
        <v>0</v>
      </c>
      <c r="AM41" s="15">
        <v>20</v>
      </c>
      <c r="AN41" s="15">
        <v>200</v>
      </c>
      <c r="AO41" s="15">
        <v>50</v>
      </c>
      <c r="AP41" s="15">
        <v>1000</v>
      </c>
      <c r="AQ41" s="15">
        <v>0</v>
      </c>
      <c r="AS41">
        <v>900</v>
      </c>
      <c r="AT41" s="12">
        <f>(42*24*31)+(121.8*((((BJ41/24)/31)/16000)^2)*(24*31))</f>
        <v>31248</v>
      </c>
      <c r="AU41" s="12"/>
      <c r="AW41" s="12">
        <f>(0*24*30)+(58.2*((((BK41/7)/24)/6300)^2)*(24*0))</f>
        <v>0</v>
      </c>
      <c r="AX41" s="12">
        <f>1*((3.9*24*14)+(17.9*((((BF41/14)/24)/1000)^2)*(24*14)))</f>
        <v>1331.0750327380952</v>
      </c>
      <c r="AY41" s="12">
        <f t="shared" ref="AY41:AY46" si="16">(3.6*24*31)+(17.9*((((BG41/31)/24)/1000)^2)*(24*31))</f>
        <v>2678.4</v>
      </c>
      <c r="AZ41" s="12">
        <f t="shared" ref="AZ41:AZ46" si="17">2*((4.3*24*31)+(21*(((((BH41/2)/31)/24)/1250)^2)*(24*31)))</f>
        <v>6398.4</v>
      </c>
      <c r="BA41" s="12">
        <f t="shared" si="15"/>
        <v>2592</v>
      </c>
      <c r="BB41" s="12">
        <v>0</v>
      </c>
      <c r="BC41">
        <v>150</v>
      </c>
      <c r="BD41" s="12">
        <v>800</v>
      </c>
      <c r="BE41" s="12">
        <v>1300</v>
      </c>
      <c r="BF41" s="12">
        <v>19700</v>
      </c>
    </row>
    <row r="42" spans="1:58">
      <c r="A42">
        <v>41</v>
      </c>
      <c r="B42">
        <v>871814</v>
      </c>
      <c r="C42">
        <v>781352</v>
      </c>
      <c r="D42">
        <v>6679</v>
      </c>
      <c r="E42">
        <v>83637.434712649265</v>
      </c>
      <c r="F42">
        <v>1236</v>
      </c>
      <c r="G42">
        <v>654</v>
      </c>
      <c r="H42">
        <v>0</v>
      </c>
      <c r="I42">
        <v>21113.611199999999</v>
      </c>
      <c r="J42">
        <v>11125</v>
      </c>
      <c r="K42">
        <v>5701</v>
      </c>
      <c r="L42">
        <v>0</v>
      </c>
      <c r="M42" s="2">
        <v>0</v>
      </c>
      <c r="N42" s="2">
        <v>0</v>
      </c>
      <c r="O42" s="2"/>
      <c r="P42" s="2"/>
      <c r="Q42" s="2"/>
      <c r="S42" s="5">
        <v>2193</v>
      </c>
      <c r="T42" s="5">
        <v>3508</v>
      </c>
      <c r="U42" s="5"/>
      <c r="V42" s="5"/>
      <c r="X42" s="9">
        <v>681</v>
      </c>
      <c r="Y42" s="9">
        <v>548</v>
      </c>
      <c r="Z42" s="9">
        <v>0</v>
      </c>
      <c r="AA42" s="9">
        <v>668</v>
      </c>
      <c r="AB42" s="9">
        <v>1171</v>
      </c>
      <c r="AC42" s="9">
        <v>2111</v>
      </c>
      <c r="AD42" s="12">
        <v>1500</v>
      </c>
      <c r="AF42" s="15">
        <f t="shared" si="0"/>
        <v>1840</v>
      </c>
      <c r="AG42" s="15">
        <v>200</v>
      </c>
      <c r="AH42" s="12">
        <v>400</v>
      </c>
      <c r="AI42" s="12">
        <v>50</v>
      </c>
      <c r="AJ42" s="12">
        <v>110</v>
      </c>
      <c r="AK42" s="9">
        <v>0</v>
      </c>
      <c r="AL42" s="15">
        <v>0</v>
      </c>
      <c r="AM42" s="15">
        <v>20</v>
      </c>
      <c r="AN42" s="15">
        <v>200</v>
      </c>
      <c r="AO42" s="15">
        <v>50</v>
      </c>
      <c r="AP42" s="15">
        <v>5000</v>
      </c>
      <c r="AQ42" s="15">
        <v>0</v>
      </c>
      <c r="AS42">
        <v>900</v>
      </c>
      <c r="AT42" s="12">
        <f>(42*24*31)+(121.8*((((BJ42/24)/31)/16000)^2)*(24*31))</f>
        <v>31248</v>
      </c>
      <c r="AU42" s="12"/>
      <c r="AW42" s="12">
        <f>(15*0.2*1)+(58.2*((((BK42/7)/24)/6300)^2)*(24*0))</f>
        <v>3</v>
      </c>
      <c r="AX42" s="12">
        <f>0*((3.9*24*14)+(17.9*((((BF42/14)/24)/1000)^2)*(24*14)))</f>
        <v>0</v>
      </c>
      <c r="AY42" s="12">
        <f t="shared" si="16"/>
        <v>2678.4</v>
      </c>
      <c r="AZ42" s="12">
        <f t="shared" si="17"/>
        <v>6398.4</v>
      </c>
      <c r="BA42" s="12">
        <f t="shared" si="15"/>
        <v>2592</v>
      </c>
      <c r="BB42" s="12">
        <v>0</v>
      </c>
      <c r="BC42">
        <v>150</v>
      </c>
      <c r="BD42" s="12">
        <v>800</v>
      </c>
      <c r="BE42" s="12">
        <v>1300</v>
      </c>
      <c r="BF42" s="12">
        <v>17000</v>
      </c>
    </row>
    <row r="43" spans="1:58">
      <c r="A43">
        <v>42</v>
      </c>
      <c r="B43">
        <v>799188</v>
      </c>
      <c r="C43">
        <v>734773</v>
      </c>
      <c r="D43">
        <v>6224</v>
      </c>
      <c r="E43">
        <v>58160.273787092621</v>
      </c>
      <c r="F43">
        <v>1272</v>
      </c>
      <c r="G43">
        <v>991</v>
      </c>
      <c r="H43">
        <v>8</v>
      </c>
      <c r="I43">
        <v>17869</v>
      </c>
      <c r="J43">
        <v>11347</v>
      </c>
      <c r="K43">
        <v>4300</v>
      </c>
      <c r="L43">
        <v>8</v>
      </c>
      <c r="M43" s="3">
        <v>0</v>
      </c>
      <c r="N43" s="3">
        <v>0</v>
      </c>
      <c r="O43" s="3"/>
      <c r="P43" s="3"/>
      <c r="Q43" s="3"/>
      <c r="S43" s="6">
        <v>992</v>
      </c>
      <c r="T43" s="6">
        <v>3308</v>
      </c>
      <c r="U43" s="6"/>
      <c r="V43" s="6"/>
      <c r="X43" s="9">
        <v>582</v>
      </c>
      <c r="Y43" s="9">
        <v>566</v>
      </c>
      <c r="Z43" s="9">
        <v>0</v>
      </c>
      <c r="AA43" s="9">
        <v>429</v>
      </c>
      <c r="AB43" s="9">
        <v>1259</v>
      </c>
      <c r="AC43" s="9">
        <v>1888</v>
      </c>
      <c r="AD43" s="12">
        <v>1500</v>
      </c>
      <c r="AF43" s="15">
        <f t="shared" si="0"/>
        <v>1840</v>
      </c>
      <c r="AG43" s="15">
        <v>200</v>
      </c>
      <c r="AH43" s="12">
        <v>400</v>
      </c>
      <c r="AI43" s="12">
        <v>50</v>
      </c>
      <c r="AJ43" s="12">
        <v>110</v>
      </c>
      <c r="AK43" s="9">
        <v>0</v>
      </c>
      <c r="AL43" s="15">
        <v>0</v>
      </c>
      <c r="AM43" s="15">
        <v>20</v>
      </c>
      <c r="AN43" s="15">
        <v>200</v>
      </c>
      <c r="AO43" s="15">
        <v>50</v>
      </c>
      <c r="AP43" s="15">
        <v>4000</v>
      </c>
      <c r="AQ43" s="15">
        <v>0</v>
      </c>
      <c r="AS43">
        <v>1250</v>
      </c>
      <c r="AT43" s="12">
        <f>(42*24*2.5)+(121.8*((((BJ43/24)/2.5)/16000)^2)*(24*2.5))</f>
        <v>2520</v>
      </c>
      <c r="AU43" s="12"/>
      <c r="AW43" s="12">
        <f>(15*24*25.5)+(58.2*((((BK43/25.5)/24)/6300)^2)*(24*25.5))</f>
        <v>9180</v>
      </c>
      <c r="AX43" s="12">
        <f>0*((3.9*24*14)+(17.9*((((BF43/14)/24)/1000)^2)*(24*14)))</f>
        <v>0</v>
      </c>
      <c r="AY43" s="12">
        <f t="shared" si="16"/>
        <v>2678.4</v>
      </c>
      <c r="AZ43" s="12">
        <f t="shared" si="17"/>
        <v>6398.4</v>
      </c>
      <c r="BA43" s="12">
        <f t="shared" si="15"/>
        <v>2592</v>
      </c>
      <c r="BB43" s="12">
        <v>0</v>
      </c>
      <c r="BC43">
        <v>150</v>
      </c>
      <c r="BD43" s="12">
        <v>800</v>
      </c>
      <c r="BE43" s="12">
        <v>1300</v>
      </c>
      <c r="BF43" s="12">
        <v>15700</v>
      </c>
    </row>
    <row r="44" spans="1:58">
      <c r="A44">
        <v>43</v>
      </c>
      <c r="B44">
        <v>843300</v>
      </c>
      <c r="C44">
        <v>772273</v>
      </c>
      <c r="D44">
        <v>6234</v>
      </c>
      <c r="E44">
        <v>63525.13073228037</v>
      </c>
      <c r="F44">
        <v>1471</v>
      </c>
      <c r="G44">
        <v>933</v>
      </c>
      <c r="H44">
        <v>47</v>
      </c>
      <c r="I44">
        <v>13823</v>
      </c>
      <c r="J44">
        <v>9212</v>
      </c>
      <c r="K44">
        <v>3556</v>
      </c>
      <c r="L44">
        <v>47</v>
      </c>
      <c r="M44" s="2">
        <v>0</v>
      </c>
      <c r="N44" s="2">
        <v>0</v>
      </c>
      <c r="O44" s="2"/>
      <c r="P44" s="2"/>
      <c r="Q44" s="2"/>
      <c r="S44" s="5">
        <v>769</v>
      </c>
      <c r="T44" s="5">
        <v>2787</v>
      </c>
      <c r="U44" s="5"/>
      <c r="V44" s="5"/>
      <c r="X44" s="9">
        <v>597</v>
      </c>
      <c r="Y44" s="9">
        <v>646</v>
      </c>
      <c r="Z44" s="9">
        <v>0</v>
      </c>
      <c r="AA44" s="9">
        <v>371</v>
      </c>
      <c r="AB44" s="9">
        <v>1124</v>
      </c>
      <c r="AC44" s="9">
        <v>1996</v>
      </c>
      <c r="AD44" s="12">
        <v>1500</v>
      </c>
      <c r="AF44" s="15">
        <f t="shared" si="0"/>
        <v>1840</v>
      </c>
      <c r="AG44" s="15">
        <v>200</v>
      </c>
      <c r="AH44" s="12">
        <v>400</v>
      </c>
      <c r="AI44" s="12">
        <v>50</v>
      </c>
      <c r="AJ44" s="12">
        <v>110</v>
      </c>
      <c r="AK44" s="9">
        <v>0</v>
      </c>
      <c r="AL44" s="15">
        <v>0</v>
      </c>
      <c r="AM44" s="15">
        <v>20</v>
      </c>
      <c r="AN44" s="15">
        <v>200</v>
      </c>
      <c r="AO44" s="15">
        <v>50</v>
      </c>
      <c r="AP44" s="15">
        <v>4000</v>
      </c>
      <c r="AQ44" s="15">
        <v>0</v>
      </c>
      <c r="AS44">
        <v>1122</v>
      </c>
      <c r="AT44" s="12">
        <f>(42*24*15)+(121.8*((((BJ44/24)/15)/16000)^2)*(24*15))</f>
        <v>15120</v>
      </c>
      <c r="AU44" s="12"/>
      <c r="AW44" s="12">
        <f>(15*24*16)+(58.2*((((BK44/16)/24)/6300)^2)*(24*16))</f>
        <v>5760</v>
      </c>
      <c r="AX44" s="12">
        <f>0*((3.9*24*14)+(17.9*((((BF44/14)/24)/1000)^2)*(24*14)))</f>
        <v>0</v>
      </c>
      <c r="AY44" s="12">
        <f t="shared" si="16"/>
        <v>2678.4</v>
      </c>
      <c r="AZ44" s="12">
        <f t="shared" si="17"/>
        <v>6398.4</v>
      </c>
      <c r="BA44" s="12">
        <f t="shared" si="15"/>
        <v>2592</v>
      </c>
      <c r="BB44" s="12">
        <v>0</v>
      </c>
      <c r="BC44">
        <v>150</v>
      </c>
      <c r="BD44" s="12">
        <v>800</v>
      </c>
      <c r="BE44" s="12">
        <v>1300</v>
      </c>
      <c r="BF44" s="12">
        <v>10000</v>
      </c>
    </row>
    <row r="45" spans="1:58">
      <c r="A45">
        <v>44</v>
      </c>
      <c r="B45">
        <v>688000</v>
      </c>
      <c r="C45">
        <v>621530</v>
      </c>
      <c r="D45">
        <v>5478</v>
      </c>
      <c r="E45">
        <v>59139.121981863238</v>
      </c>
      <c r="F45">
        <v>1394</v>
      </c>
      <c r="G45">
        <v>932</v>
      </c>
      <c r="H45">
        <v>36</v>
      </c>
      <c r="I45">
        <v>4548</v>
      </c>
      <c r="J45">
        <v>3211</v>
      </c>
      <c r="K45">
        <v>1185</v>
      </c>
      <c r="L45">
        <v>36</v>
      </c>
      <c r="M45" s="3">
        <v>0</v>
      </c>
      <c r="N45" s="3">
        <v>0</v>
      </c>
      <c r="O45" s="3"/>
      <c r="P45" s="3"/>
      <c r="Q45" s="3"/>
      <c r="S45" s="6">
        <v>0</v>
      </c>
      <c r="T45" s="6">
        <v>1185</v>
      </c>
      <c r="U45" s="6"/>
      <c r="V45" s="6"/>
      <c r="X45" s="9">
        <v>621</v>
      </c>
      <c r="Y45" s="9">
        <v>614</v>
      </c>
      <c r="Z45" s="9">
        <v>0</v>
      </c>
      <c r="AA45" s="9">
        <v>304</v>
      </c>
      <c r="AB45" s="9">
        <v>610</v>
      </c>
      <c r="AC45" s="9">
        <v>1829</v>
      </c>
      <c r="AD45" s="12">
        <v>1500</v>
      </c>
      <c r="AF45" s="15">
        <f t="shared" si="0"/>
        <v>1840</v>
      </c>
      <c r="AG45" s="15">
        <v>200</v>
      </c>
      <c r="AH45" s="12">
        <v>400</v>
      </c>
      <c r="AI45" s="12">
        <v>50</v>
      </c>
      <c r="AJ45" s="12">
        <v>110</v>
      </c>
      <c r="AK45" s="9">
        <v>0</v>
      </c>
      <c r="AL45" s="15">
        <v>0</v>
      </c>
      <c r="AM45" s="15">
        <v>20</v>
      </c>
      <c r="AN45" s="15">
        <v>200</v>
      </c>
      <c r="AO45" s="15">
        <v>50</v>
      </c>
      <c r="AP45" s="15">
        <v>1000</v>
      </c>
      <c r="AQ45" s="15">
        <v>0</v>
      </c>
      <c r="AS45">
        <v>900</v>
      </c>
      <c r="AT45" s="12">
        <f>(42*24*30)+(121.8*((((BJ45/24)/30)/16000)^2)*(24*30))</f>
        <v>30240</v>
      </c>
      <c r="AU45" s="12"/>
      <c r="AW45" s="12">
        <v>0</v>
      </c>
      <c r="AX45" s="12">
        <f>1*((3.9*24*8)+(17.9*((((BF45/8)/24)/1000)^2)*(24*8)))</f>
        <v>748.89322916666663</v>
      </c>
      <c r="AY45" s="12">
        <f t="shared" si="16"/>
        <v>2678.4</v>
      </c>
      <c r="AZ45" s="12">
        <f t="shared" si="17"/>
        <v>6398.4</v>
      </c>
      <c r="BA45" s="12">
        <f t="shared" si="15"/>
        <v>2592</v>
      </c>
      <c r="BB45" s="12">
        <v>0</v>
      </c>
      <c r="BC45">
        <v>150</v>
      </c>
      <c r="BD45" s="12">
        <v>800</v>
      </c>
      <c r="BE45" s="12">
        <v>1300</v>
      </c>
      <c r="BF45" s="12">
        <v>1000</v>
      </c>
    </row>
    <row r="46" spans="1:58">
      <c r="A46">
        <v>45</v>
      </c>
      <c r="B46">
        <v>716230</v>
      </c>
      <c r="C46">
        <v>650740</v>
      </c>
      <c r="D46">
        <v>6054</v>
      </c>
      <c r="E46">
        <v>59992.915451587804</v>
      </c>
      <c r="F46">
        <v>1609</v>
      </c>
      <c r="G46">
        <v>1280</v>
      </c>
      <c r="H46">
        <v>53</v>
      </c>
      <c r="I46">
        <v>2339</v>
      </c>
      <c r="J46">
        <v>1485</v>
      </c>
      <c r="K46">
        <v>782</v>
      </c>
      <c r="L46">
        <v>53</v>
      </c>
      <c r="M46" s="2">
        <v>0</v>
      </c>
      <c r="N46" s="2">
        <v>0</v>
      </c>
      <c r="O46" s="2"/>
      <c r="P46" s="2">
        <v>5</v>
      </c>
      <c r="Q46" s="2"/>
      <c r="S46" s="5">
        <v>0</v>
      </c>
      <c r="T46" s="5">
        <v>782</v>
      </c>
      <c r="U46" s="5"/>
      <c r="V46" s="5"/>
      <c r="X46" s="9">
        <v>207</v>
      </c>
      <c r="Y46" s="9">
        <v>707</v>
      </c>
      <c r="Z46" s="9">
        <v>0</v>
      </c>
      <c r="AA46" s="9">
        <v>296</v>
      </c>
      <c r="AB46" s="9">
        <v>492</v>
      </c>
      <c r="AC46" s="9">
        <v>2852</v>
      </c>
      <c r="AD46" s="12">
        <v>1500</v>
      </c>
      <c r="AF46" s="15">
        <f t="shared" si="0"/>
        <v>1840</v>
      </c>
      <c r="AG46" s="15">
        <v>200</v>
      </c>
      <c r="AH46" s="12">
        <v>400</v>
      </c>
      <c r="AI46" s="12">
        <v>50</v>
      </c>
      <c r="AJ46" s="12">
        <v>110</v>
      </c>
      <c r="AK46" s="9">
        <v>0</v>
      </c>
      <c r="AL46" s="15">
        <v>0</v>
      </c>
      <c r="AM46" s="15">
        <v>20</v>
      </c>
      <c r="AN46" s="15">
        <v>200</v>
      </c>
      <c r="AO46" s="15">
        <v>50</v>
      </c>
      <c r="AP46" s="15">
        <v>200</v>
      </c>
      <c r="AQ46" s="15">
        <v>0</v>
      </c>
      <c r="AS46">
        <v>900</v>
      </c>
      <c r="AT46" s="12">
        <f>(42*24*31)+(121.8*((((BJ46/24)/31)/16000)^2)*(24*31))</f>
        <v>31248</v>
      </c>
      <c r="AU46" s="12"/>
      <c r="AW46" s="12">
        <v>0</v>
      </c>
      <c r="AX46" s="12">
        <v>0</v>
      </c>
      <c r="AY46" s="12">
        <f t="shared" si="16"/>
        <v>2678.4</v>
      </c>
      <c r="AZ46" s="12">
        <f t="shared" si="17"/>
        <v>6398.4</v>
      </c>
      <c r="BA46" s="12">
        <f>(3.6*24*31)+(17.9*((((BI46/31)/24)/1000)^2)*(24*31))</f>
        <v>2678.4</v>
      </c>
      <c r="BB46" s="12">
        <v>0</v>
      </c>
      <c r="BC46">
        <v>150</v>
      </c>
      <c r="BD46" s="12">
        <v>800</v>
      </c>
      <c r="BE46" s="12">
        <v>1300</v>
      </c>
      <c r="BF46" s="12">
        <v>0</v>
      </c>
    </row>
    <row r="47" spans="1:58">
      <c r="A47">
        <v>46</v>
      </c>
      <c r="B47">
        <v>626210</v>
      </c>
      <c r="C47">
        <v>564448</v>
      </c>
      <c r="D47">
        <v>4444</v>
      </c>
      <c r="E47">
        <v>57910.351196546115</v>
      </c>
      <c r="F47">
        <v>1554</v>
      </c>
      <c r="G47">
        <v>1122</v>
      </c>
      <c r="H47">
        <v>17</v>
      </c>
      <c r="I47">
        <v>366</v>
      </c>
      <c r="J47">
        <v>426</v>
      </c>
      <c r="K47">
        <v>2</v>
      </c>
      <c r="L47">
        <v>17</v>
      </c>
      <c r="M47" s="3">
        <v>0</v>
      </c>
      <c r="N47" s="3">
        <v>0</v>
      </c>
      <c r="O47" s="3"/>
      <c r="P47" s="3">
        <v>4</v>
      </c>
      <c r="Q47" s="3"/>
      <c r="S47" s="6">
        <v>2</v>
      </c>
      <c r="T47" s="6">
        <v>0</v>
      </c>
      <c r="U47" s="6"/>
      <c r="V47" s="6"/>
      <c r="X47" s="9">
        <v>141</v>
      </c>
      <c r="Y47" s="9">
        <v>692</v>
      </c>
      <c r="Z47" s="9">
        <v>0</v>
      </c>
      <c r="AA47" s="9">
        <v>290</v>
      </c>
      <c r="AB47" s="9">
        <v>245</v>
      </c>
      <c r="AC47" s="9">
        <v>2156</v>
      </c>
      <c r="AD47" s="12">
        <v>920</v>
      </c>
      <c r="AF47" s="15">
        <f t="shared" si="0"/>
        <v>1840</v>
      </c>
      <c r="AG47" s="15">
        <v>200</v>
      </c>
      <c r="AH47" s="12">
        <v>400</v>
      </c>
      <c r="AI47" s="12">
        <v>50</v>
      </c>
      <c r="AJ47" s="12">
        <v>110</v>
      </c>
      <c r="AK47" s="9">
        <v>0</v>
      </c>
      <c r="AL47" s="15">
        <v>0</v>
      </c>
      <c r="AM47" s="15">
        <v>20</v>
      </c>
      <c r="AN47" s="15">
        <v>200</v>
      </c>
      <c r="AO47" s="15">
        <v>50</v>
      </c>
      <c r="AP47" s="15">
        <v>200</v>
      </c>
      <c r="AQ47" s="15">
        <v>0</v>
      </c>
      <c r="AS47">
        <v>900</v>
      </c>
      <c r="AT47" s="12">
        <f>(42*24*30)+(121.8*((((BJ47/24)/30)/16000)^2)*(24*30))</f>
        <v>30240</v>
      </c>
      <c r="AU47" s="12"/>
      <c r="AW47" s="12">
        <v>0</v>
      </c>
      <c r="AX47" s="12">
        <v>0</v>
      </c>
      <c r="AY47" s="12">
        <f>(3.6*24*30)+(17.9*((((BG47/30)/24)/1000)^2)*(24*30))</f>
        <v>2592</v>
      </c>
      <c r="AZ47" s="12">
        <f>2*((4.3*24*30)+(21*(((((BH47/2)/30)/24)/1250)^2)*(24*30)))</f>
        <v>6191.9999999999991</v>
      </c>
      <c r="BA47" s="12">
        <f>(3.6*24*30)+(17.9*((((BI47/30)/24)/1000)^2)*(24*30))</f>
        <v>2592</v>
      </c>
      <c r="BB47" s="12">
        <v>0</v>
      </c>
      <c r="BC47">
        <v>150</v>
      </c>
      <c r="BD47" s="12">
        <v>500</v>
      </c>
      <c r="BE47" s="12">
        <v>1300</v>
      </c>
      <c r="BF47" s="12">
        <v>0</v>
      </c>
    </row>
    <row r="48" spans="1:58">
      <c r="A48">
        <v>47</v>
      </c>
      <c r="B48">
        <v>639615</v>
      </c>
      <c r="C48">
        <v>587054</v>
      </c>
      <c r="D48">
        <v>4076</v>
      </c>
      <c r="E48">
        <v>45426.907527669842</v>
      </c>
      <c r="F48">
        <v>869</v>
      </c>
      <c r="G48">
        <v>658</v>
      </c>
      <c r="H48">
        <v>37</v>
      </c>
      <c r="I48">
        <v>269</v>
      </c>
      <c r="J48">
        <v>325</v>
      </c>
      <c r="K48">
        <v>0</v>
      </c>
      <c r="L48">
        <v>37</v>
      </c>
      <c r="M48" s="2">
        <v>0</v>
      </c>
      <c r="N48" s="2">
        <v>0</v>
      </c>
      <c r="O48" s="2"/>
      <c r="P48" s="2">
        <v>3</v>
      </c>
      <c r="Q48" s="2"/>
      <c r="S48" s="5">
        <v>0</v>
      </c>
      <c r="T48" s="5">
        <v>0</v>
      </c>
      <c r="U48" s="5"/>
      <c r="V48" s="5"/>
      <c r="X48" s="9">
        <v>138</v>
      </c>
      <c r="Y48" s="9">
        <v>394</v>
      </c>
      <c r="Z48" s="9">
        <v>0</v>
      </c>
      <c r="AA48" s="9">
        <v>291</v>
      </c>
      <c r="AB48" s="9">
        <v>205</v>
      </c>
      <c r="AC48" s="9">
        <v>2128</v>
      </c>
      <c r="AD48" s="12">
        <v>920</v>
      </c>
      <c r="AF48" s="15">
        <f t="shared" si="0"/>
        <v>1840</v>
      </c>
      <c r="AG48" s="15">
        <v>200</v>
      </c>
      <c r="AH48" s="12">
        <v>400</v>
      </c>
      <c r="AI48" s="12">
        <v>50</v>
      </c>
      <c r="AJ48" s="12">
        <v>110</v>
      </c>
      <c r="AK48" s="9">
        <v>0</v>
      </c>
      <c r="AL48" s="15">
        <v>0</v>
      </c>
      <c r="AM48" s="15">
        <v>20</v>
      </c>
      <c r="AN48" s="15">
        <v>200</v>
      </c>
      <c r="AO48" s="15">
        <v>50</v>
      </c>
      <c r="AP48" s="15">
        <v>200</v>
      </c>
      <c r="AQ48" s="15">
        <v>0</v>
      </c>
      <c r="AS48">
        <v>600</v>
      </c>
      <c r="AT48" s="12">
        <f>(42*24*12)+(121.8*((((BJ48/24)/12)/16000)^2)*(24*12))</f>
        <v>12096</v>
      </c>
      <c r="AU48" s="12"/>
      <c r="AW48" s="12">
        <f>(15*24*19.5)+(58.2*((((BK48/19.5)/24)/6300)^2)*(24*19.5))</f>
        <v>7020</v>
      </c>
      <c r="AX48" s="12">
        <v>0</v>
      </c>
      <c r="AY48" s="12">
        <f>(3.6*24*30)+(17.9*((((BG48/30)/24)/1000)^2)*(24*30))</f>
        <v>2592</v>
      </c>
      <c r="AZ48" s="12">
        <f>2*((4.3*24*30)+(21*(((((BH48/2)/30)/24)/1250)^2)*(24*30)))</f>
        <v>6191.9999999999991</v>
      </c>
      <c r="BA48" s="12">
        <f>(3.6*24*30)+(17.9*((((BI48/30)/24)/1000)^2)*(24*30))</f>
        <v>2592</v>
      </c>
      <c r="BB48" s="12">
        <v>0</v>
      </c>
      <c r="BC48">
        <v>150</v>
      </c>
      <c r="BD48" s="12">
        <v>500</v>
      </c>
      <c r="BE48" s="12">
        <v>1300</v>
      </c>
      <c r="BF48" s="12">
        <v>0</v>
      </c>
    </row>
    <row r="49" spans="1:60">
      <c r="A49">
        <v>48</v>
      </c>
      <c r="B49">
        <v>621798</v>
      </c>
      <c r="C49">
        <v>575022</v>
      </c>
      <c r="D49">
        <v>4519</v>
      </c>
      <c r="E49">
        <v>38714.835819442254</v>
      </c>
      <c r="F49">
        <v>964</v>
      </c>
      <c r="G49">
        <v>678</v>
      </c>
      <c r="H49">
        <v>17</v>
      </c>
      <c r="I49">
        <v>346</v>
      </c>
      <c r="J49">
        <v>412</v>
      </c>
      <c r="K49">
        <v>0</v>
      </c>
      <c r="L49">
        <v>17</v>
      </c>
      <c r="M49" s="3">
        <v>0</v>
      </c>
      <c r="N49" s="3">
        <v>0</v>
      </c>
      <c r="O49" s="3"/>
      <c r="P49" s="3">
        <v>3</v>
      </c>
      <c r="Q49" s="3"/>
      <c r="S49" s="6">
        <v>0</v>
      </c>
      <c r="T49" s="6">
        <v>0</v>
      </c>
      <c r="U49" s="6"/>
      <c r="V49" s="6"/>
      <c r="X49" s="9">
        <v>291</v>
      </c>
      <c r="Y49" s="9">
        <v>444</v>
      </c>
      <c r="Z49" s="9">
        <v>0</v>
      </c>
      <c r="AA49" s="9">
        <v>356</v>
      </c>
      <c r="AB49" s="9">
        <v>304</v>
      </c>
      <c r="AC49" s="9">
        <v>2204</v>
      </c>
      <c r="AD49" s="12">
        <v>920</v>
      </c>
      <c r="AF49" s="15">
        <f t="shared" si="0"/>
        <v>1840</v>
      </c>
      <c r="AG49" s="15">
        <v>200</v>
      </c>
      <c r="AH49" s="12">
        <v>400</v>
      </c>
      <c r="AI49" s="12">
        <v>50</v>
      </c>
      <c r="AJ49" s="12">
        <v>110</v>
      </c>
      <c r="AK49" s="9">
        <v>0</v>
      </c>
      <c r="AL49" s="15">
        <v>0</v>
      </c>
      <c r="AM49" s="15">
        <v>20</v>
      </c>
      <c r="AN49" s="15">
        <v>200</v>
      </c>
      <c r="AO49" s="15">
        <v>50</v>
      </c>
      <c r="AP49" s="15">
        <v>200</v>
      </c>
      <c r="AQ49" s="15">
        <v>0</v>
      </c>
      <c r="AS49">
        <v>600</v>
      </c>
      <c r="AT49" s="12">
        <f>(42*24*0)+(121.8*((((BJ49/24)/12)/16000)^2)*(24*0))</f>
        <v>0</v>
      </c>
      <c r="AU49" s="12"/>
      <c r="AW49" s="12">
        <f>(15*24*31)+(58.2*((((BK49/31)/24)/6300)^2)*(24*31))</f>
        <v>11160</v>
      </c>
      <c r="AX49" s="12">
        <f>1*((3.9*24*14)+(17.9*((((BF49/14)/24)/1000)^2)*(24*14)))</f>
        <v>1310.3999999999999</v>
      </c>
      <c r="AY49" s="12">
        <f>(3.6*24*31)+(17.9*((((BG49/31)/24)/1000)^2)*(24*31))</f>
        <v>2678.4</v>
      </c>
      <c r="AZ49" s="12">
        <f>2*((4.3*24*31)+(21*(((((BH49/2)/31)/24)/1250)^2)*(24*31)))</f>
        <v>6398.4</v>
      </c>
      <c r="BA49" s="12">
        <f>(3.6*24*31)+(17.9*((((BI49/31)/24)/1000)^2)*(24*31))</f>
        <v>2678.4</v>
      </c>
      <c r="BB49" s="12">
        <v>0</v>
      </c>
      <c r="BC49">
        <v>150</v>
      </c>
      <c r="BD49" s="12">
        <v>500</v>
      </c>
      <c r="BE49" s="12">
        <v>1300</v>
      </c>
      <c r="BF49" s="12">
        <v>0</v>
      </c>
    </row>
    <row r="50" spans="1:60">
      <c r="A50">
        <v>49</v>
      </c>
      <c r="B50">
        <v>646211</v>
      </c>
      <c r="C50">
        <v>591103</v>
      </c>
      <c r="D50">
        <v>4699</v>
      </c>
      <c r="E50">
        <v>51218.950225076645</v>
      </c>
      <c r="F50">
        <v>983</v>
      </c>
      <c r="G50">
        <v>861</v>
      </c>
      <c r="H50">
        <v>21</v>
      </c>
      <c r="I50">
        <v>1143</v>
      </c>
      <c r="J50">
        <v>1116</v>
      </c>
      <c r="K50">
        <v>0</v>
      </c>
      <c r="L50">
        <v>21</v>
      </c>
      <c r="M50" s="2">
        <v>0</v>
      </c>
      <c r="N50" s="2">
        <v>0</v>
      </c>
      <c r="O50" s="2"/>
      <c r="P50" s="2">
        <v>3</v>
      </c>
      <c r="Q50" s="2"/>
      <c r="S50" s="5">
        <v>0</v>
      </c>
      <c r="T50" s="5">
        <v>0</v>
      </c>
      <c r="U50" s="5"/>
      <c r="V50" s="5"/>
      <c r="X50" s="9">
        <v>282</v>
      </c>
      <c r="Y50" s="9">
        <v>451</v>
      </c>
      <c r="Z50" s="9">
        <v>0</v>
      </c>
      <c r="AA50" s="9">
        <v>378</v>
      </c>
      <c r="AB50" s="9">
        <v>492</v>
      </c>
      <c r="AC50" s="9">
        <v>1896</v>
      </c>
      <c r="AD50" s="12">
        <v>1200</v>
      </c>
      <c r="AF50" s="15">
        <f t="shared" si="0"/>
        <v>1840</v>
      </c>
      <c r="AG50" s="15">
        <v>200</v>
      </c>
      <c r="AH50" s="12">
        <v>400</v>
      </c>
      <c r="AI50" s="12">
        <v>50</v>
      </c>
      <c r="AJ50" s="12">
        <v>110</v>
      </c>
      <c r="AK50" s="9">
        <v>0</v>
      </c>
      <c r="AL50" s="15">
        <v>0</v>
      </c>
      <c r="AM50" s="15">
        <v>20</v>
      </c>
      <c r="AN50" s="15">
        <v>200</v>
      </c>
      <c r="AO50" s="15">
        <v>50</v>
      </c>
      <c r="AP50" s="15">
        <v>200</v>
      </c>
      <c r="AQ50" s="17">
        <v>376</v>
      </c>
      <c r="AS50">
        <v>600</v>
      </c>
      <c r="AT50" s="12">
        <f>(45*24*17)+(121.8*((((BJ50/24)/17)/16000)^2)*(24*17))</f>
        <v>18360</v>
      </c>
      <c r="AU50" s="12"/>
      <c r="AW50" s="12">
        <f>(15*24*13)+(58.2*((((BK50/13)/24)/6300)^2)*(24*13))</f>
        <v>4680</v>
      </c>
      <c r="AX50" s="12">
        <f>0*((3.9*24*14)+(17.9*((((BF50/14)/24)/1000)^2)*(24*14)))</f>
        <v>0</v>
      </c>
      <c r="AY50" s="12">
        <f>(3.6*24*31)+(17.9*((((BG50/31)/24)/1000)^2)*(24*31))</f>
        <v>2678.4</v>
      </c>
      <c r="AZ50" s="12">
        <f>2*((4.3*24*31)+(21*(((((BH50/2)/31)/24)/1250)^2)*(24*31)))</f>
        <v>6398.4</v>
      </c>
      <c r="BA50" s="12">
        <f>(3.6*24*31)+(17.9*((((BI50/31)/24)/1000)^2)*(24*31))</f>
        <v>2678.4</v>
      </c>
      <c r="BB50" s="12">
        <v>0</v>
      </c>
      <c r="BC50">
        <v>150</v>
      </c>
      <c r="BD50" s="12">
        <v>500</v>
      </c>
      <c r="BE50" s="12">
        <v>1300</v>
      </c>
      <c r="BF50" s="12">
        <v>0</v>
      </c>
    </row>
    <row r="51" spans="1:60">
      <c r="A51">
        <v>50</v>
      </c>
      <c r="B51">
        <v>731800</v>
      </c>
      <c r="C51">
        <v>660728</v>
      </c>
      <c r="D51">
        <v>5809</v>
      </c>
      <c r="E51">
        <v>64815.693173381092</v>
      </c>
      <c r="F51">
        <v>1260</v>
      </c>
      <c r="G51">
        <v>1095</v>
      </c>
      <c r="H51">
        <v>16</v>
      </c>
      <c r="I51">
        <v>21047</v>
      </c>
      <c r="J51">
        <v>18123</v>
      </c>
      <c r="K51">
        <v>1498</v>
      </c>
      <c r="L51">
        <v>16</v>
      </c>
      <c r="M51" s="3">
        <v>0</v>
      </c>
      <c r="N51" s="3">
        <v>0</v>
      </c>
      <c r="O51" s="3"/>
      <c r="P51" s="3">
        <v>4</v>
      </c>
      <c r="Q51" s="3"/>
      <c r="S51" s="6">
        <v>1</v>
      </c>
      <c r="T51" s="6">
        <v>1497</v>
      </c>
      <c r="U51" s="6"/>
      <c r="V51" s="6"/>
      <c r="X51" s="9">
        <v>255</v>
      </c>
      <c r="Y51" s="9">
        <v>603</v>
      </c>
      <c r="Z51" s="9">
        <v>0</v>
      </c>
      <c r="AA51" s="9">
        <v>488</v>
      </c>
      <c r="AB51" s="9">
        <v>785</v>
      </c>
      <c r="AC51" s="9">
        <v>2278</v>
      </c>
      <c r="AD51" s="12">
        <v>1400</v>
      </c>
      <c r="AF51" s="15">
        <f t="shared" si="0"/>
        <v>1840</v>
      </c>
      <c r="AG51" s="15">
        <v>200</v>
      </c>
      <c r="AH51" s="12">
        <v>400</v>
      </c>
      <c r="AI51" s="12">
        <v>50</v>
      </c>
      <c r="AJ51" s="12">
        <v>110</v>
      </c>
      <c r="AK51" s="9">
        <v>0</v>
      </c>
      <c r="AL51" s="15">
        <v>0</v>
      </c>
      <c r="AM51" s="15">
        <v>20</v>
      </c>
      <c r="AN51" s="15">
        <v>200</v>
      </c>
      <c r="AO51" s="15">
        <v>50</v>
      </c>
      <c r="AP51" s="15">
        <v>500</v>
      </c>
      <c r="AQ51" s="17">
        <v>752</v>
      </c>
      <c r="AS51">
        <v>300</v>
      </c>
      <c r="AT51" s="12">
        <f>(45*24*31)+(121.8*((((BJ51/24)/31)/16000)^2)*(24*31))</f>
        <v>33480</v>
      </c>
      <c r="AU51" s="12"/>
      <c r="AW51" s="12">
        <v>0</v>
      </c>
      <c r="AX51" s="12">
        <f>1*((3.9*24*14)+(17.9*((((BF51/14)/24)/1000)^2)*(24*14)))</f>
        <v>1310.3999999999999</v>
      </c>
      <c r="AY51" s="12">
        <f>(3.6*24*31)+(17.9*((((BG51/31)/24)/1000)^2)*(24*31))</f>
        <v>2678.4</v>
      </c>
      <c r="AZ51" s="12">
        <f>2*((4.3*24*31)+(21*(((((BH51/2)/31)/24)/1250)^2)*(24*31)))</f>
        <v>6398.4</v>
      </c>
      <c r="BA51" s="12">
        <f>(3.6*24*31)+(17.9*((((BI51/31)/24)/1000)^2)*(24*31))</f>
        <v>2678.4</v>
      </c>
      <c r="BB51" s="12">
        <v>0</v>
      </c>
      <c r="BC51">
        <v>150</v>
      </c>
      <c r="BD51" s="12">
        <v>500</v>
      </c>
      <c r="BE51" s="12">
        <v>1300</v>
      </c>
      <c r="BF51" s="12">
        <v>0</v>
      </c>
    </row>
    <row r="52" spans="1:60">
      <c r="A52">
        <v>51</v>
      </c>
      <c r="B52">
        <v>787060</v>
      </c>
      <c r="C52">
        <v>713263</v>
      </c>
      <c r="D52">
        <v>6527</v>
      </c>
      <c r="E52">
        <v>66501.944266007369</v>
      </c>
      <c r="F52">
        <v>1234</v>
      </c>
      <c r="G52">
        <v>1079</v>
      </c>
      <c r="H52">
        <v>8</v>
      </c>
      <c r="I52">
        <v>45702</v>
      </c>
      <c r="J52">
        <v>39964</v>
      </c>
      <c r="K52">
        <v>3219</v>
      </c>
      <c r="L52">
        <v>8</v>
      </c>
      <c r="M52" s="2">
        <v>0</v>
      </c>
      <c r="N52" s="2">
        <v>0</v>
      </c>
      <c r="O52" s="2"/>
      <c r="P52" s="2">
        <v>3</v>
      </c>
      <c r="Q52" s="2"/>
      <c r="S52" s="5">
        <v>546</v>
      </c>
      <c r="T52" s="5">
        <v>2673</v>
      </c>
      <c r="U52" s="5"/>
      <c r="V52" s="5"/>
      <c r="X52" s="9">
        <v>42</v>
      </c>
      <c r="Y52" s="9">
        <v>596</v>
      </c>
      <c r="Z52" s="9">
        <v>0</v>
      </c>
      <c r="AA52" s="9">
        <v>819</v>
      </c>
      <c r="AB52" s="9">
        <v>1037</v>
      </c>
      <c r="AC52" s="9">
        <v>2633</v>
      </c>
      <c r="AD52" s="12">
        <v>1400</v>
      </c>
      <c r="AF52" s="15">
        <f t="shared" si="0"/>
        <v>1840</v>
      </c>
      <c r="AG52" s="15">
        <v>200</v>
      </c>
      <c r="AH52" s="12">
        <v>400</v>
      </c>
      <c r="AI52" s="12">
        <v>50</v>
      </c>
      <c r="AJ52" s="12">
        <v>110</v>
      </c>
      <c r="AK52" s="9">
        <v>0</v>
      </c>
      <c r="AL52" s="15">
        <v>0</v>
      </c>
      <c r="AM52" s="15">
        <v>20</v>
      </c>
      <c r="AN52" s="15">
        <v>200</v>
      </c>
      <c r="AO52" s="15">
        <v>50</v>
      </c>
      <c r="AP52" s="15">
        <v>2000</v>
      </c>
      <c r="AQ52" s="17">
        <v>936</v>
      </c>
      <c r="AS52">
        <v>504</v>
      </c>
      <c r="AT52" s="12">
        <f>(45*24*30)+(121.8*((((BJ52/24)/30)/16000)^2)*(24*30))</f>
        <v>32400</v>
      </c>
      <c r="AU52" s="12"/>
      <c r="AW52" s="12">
        <v>0</v>
      </c>
      <c r="AX52" s="12">
        <v>0</v>
      </c>
      <c r="AY52" s="12">
        <f>(3.6*24*30)+(17.9*((((BG52/30)/24)/1000)^2)*(24*30))</f>
        <v>2592</v>
      </c>
      <c r="AZ52" s="12">
        <f>2*((4.3*24*30)+(21*(((((BH52/2)/30)/24)/1250)^2)*(24*30)))</f>
        <v>6191.9999999999991</v>
      </c>
      <c r="BA52" s="12">
        <f>(3.6*24*30)+(17.9*((((BI52/30)/24)/1000)^2)*(24*30))</f>
        <v>2592</v>
      </c>
      <c r="BB52" s="12">
        <v>0</v>
      </c>
      <c r="BC52">
        <v>150</v>
      </c>
      <c r="BD52" s="12">
        <v>500</v>
      </c>
      <c r="BE52" s="12">
        <v>1300</v>
      </c>
      <c r="BF52" s="12">
        <v>1000</v>
      </c>
    </row>
    <row r="53" spans="1:60">
      <c r="A53">
        <v>52</v>
      </c>
      <c r="B53">
        <v>735710</v>
      </c>
      <c r="C53">
        <v>646990</v>
      </c>
      <c r="D53">
        <v>6760</v>
      </c>
      <c r="E53">
        <v>81701.728080897155</v>
      </c>
      <c r="F53">
        <v>1160</v>
      </c>
      <c r="G53">
        <v>813</v>
      </c>
      <c r="H53">
        <v>6</v>
      </c>
      <c r="I53">
        <v>52862</v>
      </c>
      <c r="J53">
        <v>47992</v>
      </c>
      <c r="K53">
        <v>3861</v>
      </c>
      <c r="L53">
        <v>6</v>
      </c>
      <c r="M53" s="3">
        <v>0</v>
      </c>
      <c r="N53" s="3">
        <v>0</v>
      </c>
      <c r="O53" s="3"/>
      <c r="P53" s="3">
        <v>3</v>
      </c>
      <c r="Q53" s="3"/>
      <c r="S53" s="6">
        <v>1252</v>
      </c>
      <c r="T53" s="6">
        <v>2609</v>
      </c>
      <c r="U53" s="6"/>
      <c r="V53" s="6"/>
      <c r="X53" s="9">
        <v>492</v>
      </c>
      <c r="Y53" s="9">
        <v>585</v>
      </c>
      <c r="Z53" s="9">
        <v>0</v>
      </c>
      <c r="AA53" s="9">
        <v>1194</v>
      </c>
      <c r="AB53" s="9">
        <v>839</v>
      </c>
      <c r="AC53" s="9">
        <v>2150</v>
      </c>
      <c r="AD53" s="12">
        <v>1500</v>
      </c>
      <c r="AF53" s="15">
        <f t="shared" si="0"/>
        <v>1840</v>
      </c>
      <c r="AG53" s="15">
        <v>200</v>
      </c>
      <c r="AH53" s="12">
        <v>400</v>
      </c>
      <c r="AI53" s="12">
        <v>50</v>
      </c>
      <c r="AJ53" s="12">
        <v>110</v>
      </c>
      <c r="AK53" s="9">
        <v>0</v>
      </c>
      <c r="AL53" s="15">
        <v>0</v>
      </c>
      <c r="AM53" s="15">
        <v>20</v>
      </c>
      <c r="AN53" s="15">
        <v>200</v>
      </c>
      <c r="AO53" s="15">
        <v>50</v>
      </c>
      <c r="AP53" s="15">
        <v>2000</v>
      </c>
      <c r="AQ53" s="17">
        <v>960</v>
      </c>
      <c r="AS53">
        <v>642</v>
      </c>
      <c r="AT53" s="12">
        <f>(45*24*31)+(121.8*((((BJ53/24)/31)/16000)^2)*(24*31))</f>
        <v>33480</v>
      </c>
      <c r="AU53" s="12"/>
      <c r="AW53" s="12">
        <v>0</v>
      </c>
      <c r="AX53" s="12">
        <f>1*((3.9*24*14)+(17.9*((((BF53/14)/24)/1000)^2)*(24*14)))</f>
        <v>1320.8416666666665</v>
      </c>
      <c r="AY53" s="12">
        <f>(3.6*24*31)+(17.9*((((BG53/31)/24)/1000)^2)*(24*31))</f>
        <v>2678.4</v>
      </c>
      <c r="AZ53" s="12">
        <f>2*((4.3*24*31)+(21*(((((BH53/2)/31)/24)/1250)^2)*(24*31)))</f>
        <v>6398.4</v>
      </c>
      <c r="BA53" s="12">
        <f>(3.6*24*31)+(17.9*((((BI53/31)/24)/1000)^2)*(24*31))</f>
        <v>2678.4</v>
      </c>
      <c r="BB53" s="12">
        <v>0</v>
      </c>
      <c r="BC53">
        <v>150</v>
      </c>
      <c r="BD53" s="12">
        <v>1000</v>
      </c>
      <c r="BE53" s="12">
        <v>1300</v>
      </c>
      <c r="BF53" s="12">
        <v>14000</v>
      </c>
    </row>
    <row r="54" spans="1:60">
      <c r="A54">
        <v>53</v>
      </c>
      <c r="B54">
        <v>855010</v>
      </c>
      <c r="C54">
        <v>756235</v>
      </c>
      <c r="D54">
        <v>7741</v>
      </c>
      <c r="E54">
        <v>90372.63292239423</v>
      </c>
      <c r="F54">
        <v>1272</v>
      </c>
      <c r="G54">
        <v>1113</v>
      </c>
      <c r="H54">
        <v>9</v>
      </c>
      <c r="I54">
        <v>60582</v>
      </c>
      <c r="J54">
        <v>53018</v>
      </c>
      <c r="K54">
        <v>4564</v>
      </c>
      <c r="L54">
        <v>9</v>
      </c>
      <c r="M54" s="2">
        <v>0</v>
      </c>
      <c r="N54" s="2">
        <v>0</v>
      </c>
      <c r="O54" s="2"/>
      <c r="P54" s="2">
        <v>4</v>
      </c>
      <c r="Q54" s="2"/>
      <c r="S54" s="5">
        <v>1200</v>
      </c>
      <c r="T54" s="5">
        <v>3364</v>
      </c>
      <c r="U54" s="5"/>
      <c r="V54" s="5"/>
      <c r="X54" s="9">
        <v>759</v>
      </c>
      <c r="Y54" s="9">
        <v>587</v>
      </c>
      <c r="Z54" s="9">
        <v>0</v>
      </c>
      <c r="AA54" s="9">
        <v>1217</v>
      </c>
      <c r="AB54" s="9">
        <v>1190</v>
      </c>
      <c r="AC54" s="9">
        <v>2488</v>
      </c>
      <c r="AD54" s="12">
        <v>1500</v>
      </c>
      <c r="AF54" s="15">
        <f t="shared" si="0"/>
        <v>1840</v>
      </c>
      <c r="AG54" s="15">
        <v>200</v>
      </c>
      <c r="AH54" s="12">
        <v>400</v>
      </c>
      <c r="AI54" s="12">
        <v>50</v>
      </c>
      <c r="AJ54" s="12">
        <v>110</v>
      </c>
      <c r="AK54" s="9">
        <v>0</v>
      </c>
      <c r="AL54" s="15">
        <v>0</v>
      </c>
      <c r="AM54" s="15">
        <v>20</v>
      </c>
      <c r="AN54" s="15">
        <v>200</v>
      </c>
      <c r="AO54" s="15">
        <v>50</v>
      </c>
      <c r="AP54" s="15">
        <v>2000</v>
      </c>
      <c r="AQ54" s="17">
        <v>1144</v>
      </c>
      <c r="AS54">
        <v>2222</v>
      </c>
      <c r="AT54" s="12">
        <f>(45*24*31)+(121.8*((((BJ54/24)/31)/16000)^2)*(24*31))</f>
        <v>33480</v>
      </c>
      <c r="AU54" s="12"/>
      <c r="AW54" s="12">
        <v>0</v>
      </c>
      <c r="AX54" s="12">
        <f>0*((3.9*24*14)+(17.9*((((BF54/14)/24)/1000)^2)*(24*14)))</f>
        <v>0</v>
      </c>
      <c r="AY54" s="12">
        <f>(3.6*24*31)+(17.9*((((BG54/31)/24)/1000)^2)*(24*31))</f>
        <v>2678.4</v>
      </c>
      <c r="AZ54" s="12">
        <f>2*((4.3*24*31)+(21*(((((BH54/2)/31)/24)/1250)^2)*(24*31)))</f>
        <v>6398.4</v>
      </c>
      <c r="BA54" s="12">
        <f>(3.6*24*31)+(17.9*((((BI54/31)/24)/1000)^2)*(24*31))</f>
        <v>2678.4</v>
      </c>
      <c r="BB54" s="12">
        <v>0</v>
      </c>
      <c r="BC54">
        <v>150</v>
      </c>
      <c r="BD54" s="12">
        <v>1000</v>
      </c>
      <c r="BE54" s="12">
        <v>1300</v>
      </c>
      <c r="BF54" s="12">
        <v>20000</v>
      </c>
    </row>
    <row r="55" spans="1:60">
      <c r="A55">
        <v>54</v>
      </c>
      <c r="B55">
        <v>896640</v>
      </c>
      <c r="C55">
        <v>783592</v>
      </c>
      <c r="D55">
        <v>8696</v>
      </c>
      <c r="E55">
        <v>104036.12942367815</v>
      </c>
      <c r="F55">
        <v>1553</v>
      </c>
      <c r="G55">
        <v>1236</v>
      </c>
      <c r="H55">
        <v>3</v>
      </c>
      <c r="I55">
        <v>64177</v>
      </c>
      <c r="J55">
        <v>55517</v>
      </c>
      <c r="K55">
        <v>3873</v>
      </c>
      <c r="L55">
        <v>3</v>
      </c>
      <c r="M55" s="3">
        <v>0</v>
      </c>
      <c r="N55" s="3">
        <v>0</v>
      </c>
      <c r="O55" s="3"/>
      <c r="P55" s="3">
        <v>0</v>
      </c>
      <c r="Q55" s="3"/>
      <c r="S55" s="6">
        <v>749</v>
      </c>
      <c r="T55" s="6">
        <v>3124</v>
      </c>
      <c r="U55" s="6"/>
      <c r="V55" s="6"/>
      <c r="X55" s="9">
        <v>1074</v>
      </c>
      <c r="Y55" s="9">
        <v>751</v>
      </c>
      <c r="Z55" s="9">
        <v>0</v>
      </c>
      <c r="AA55" s="9">
        <v>1852</v>
      </c>
      <c r="AB55" s="9">
        <v>1070</v>
      </c>
      <c r="AC55" s="9">
        <v>2449</v>
      </c>
      <c r="AD55" s="12">
        <v>1500</v>
      </c>
      <c r="AF55" s="15">
        <f t="shared" si="0"/>
        <v>1840</v>
      </c>
      <c r="AG55" s="15">
        <v>200</v>
      </c>
      <c r="AH55" s="12">
        <v>400</v>
      </c>
      <c r="AI55" s="12">
        <v>50</v>
      </c>
      <c r="AJ55" s="12">
        <v>110</v>
      </c>
      <c r="AK55" s="9">
        <v>0</v>
      </c>
      <c r="AL55" s="15">
        <v>0</v>
      </c>
      <c r="AM55" s="15">
        <v>20</v>
      </c>
      <c r="AN55" s="15">
        <v>200</v>
      </c>
      <c r="AO55" s="15">
        <v>50</v>
      </c>
      <c r="AP55" s="15">
        <v>7000</v>
      </c>
      <c r="AQ55" s="17">
        <v>1080</v>
      </c>
      <c r="AS55">
        <v>3360</v>
      </c>
      <c r="AT55" s="12">
        <f>(45*24*29)+(121.8*((((BJ55/24)/29)/16000)^2)*(24*29))</f>
        <v>31320</v>
      </c>
      <c r="AU55" s="12"/>
      <c r="AW55" s="12">
        <v>0</v>
      </c>
      <c r="AX55" s="12">
        <f>0*((3.9*24*14)+(17.9*((((BF55/14)/24)/1000)^2)*(24*14)))</f>
        <v>0</v>
      </c>
      <c r="AY55" s="12">
        <f>(3.6*24*29)+(17.9*((((BG55/29)/24)/1000)^2)*(24*29))</f>
        <v>2505.6000000000004</v>
      </c>
      <c r="AZ55" s="12">
        <f>2*((4.3*24*29)+(21*(((((BH55/2)/29)/24)/1250)^2)*(24*29)))</f>
        <v>5985.5999999999995</v>
      </c>
      <c r="BA55" s="12">
        <f>(3.6*24*29)+(17.9*((((BI55/29)/24)/1000)^2)*(24*29))</f>
        <v>2505.6000000000004</v>
      </c>
      <c r="BB55" s="12">
        <v>0</v>
      </c>
      <c r="BC55">
        <v>150</v>
      </c>
      <c r="BD55" s="12">
        <v>1000</v>
      </c>
      <c r="BE55" s="12">
        <v>1300</v>
      </c>
      <c r="BF55" s="12">
        <v>29000</v>
      </c>
    </row>
    <row r="56" spans="1:60">
      <c r="A56">
        <v>55</v>
      </c>
      <c r="B56">
        <v>828260</v>
      </c>
      <c r="C56">
        <v>739544</v>
      </c>
      <c r="D56">
        <v>6976</v>
      </c>
      <c r="E56">
        <v>81228.369138120062</v>
      </c>
      <c r="F56">
        <v>1448</v>
      </c>
      <c r="G56">
        <v>1144</v>
      </c>
      <c r="H56">
        <v>1</v>
      </c>
      <c r="I56">
        <v>26510</v>
      </c>
      <c r="J56">
        <v>23393</v>
      </c>
      <c r="K56">
        <v>2072</v>
      </c>
      <c r="L56">
        <v>0</v>
      </c>
      <c r="M56" s="2">
        <v>0</v>
      </c>
      <c r="N56" s="2">
        <v>0</v>
      </c>
      <c r="O56" s="2"/>
      <c r="P56" s="2">
        <v>1</v>
      </c>
      <c r="Q56" s="2"/>
      <c r="S56" s="5">
        <v>245</v>
      </c>
      <c r="T56" s="5">
        <v>1827</v>
      </c>
      <c r="U56" s="5"/>
      <c r="V56" s="5"/>
      <c r="X56" s="9">
        <v>780</v>
      </c>
      <c r="Y56" s="9">
        <v>684</v>
      </c>
      <c r="Z56" s="9">
        <v>0</v>
      </c>
      <c r="AA56" s="9">
        <v>1141</v>
      </c>
      <c r="AB56" s="9">
        <v>607</v>
      </c>
      <c r="AC56" s="9">
        <v>2264</v>
      </c>
      <c r="AD56" s="12">
        <v>1500</v>
      </c>
      <c r="AF56" s="15">
        <f t="shared" si="0"/>
        <v>1840</v>
      </c>
      <c r="AG56" s="15">
        <v>200</v>
      </c>
      <c r="AH56" s="12">
        <v>400</v>
      </c>
      <c r="AI56" s="12">
        <v>50</v>
      </c>
      <c r="AJ56" s="12">
        <v>110</v>
      </c>
      <c r="AK56" s="9">
        <v>0</v>
      </c>
      <c r="AL56" s="15">
        <v>0</v>
      </c>
      <c r="AM56" s="15">
        <v>20</v>
      </c>
      <c r="AN56" s="15">
        <v>200</v>
      </c>
      <c r="AO56" s="15">
        <v>50</v>
      </c>
      <c r="AP56" s="15">
        <v>5000</v>
      </c>
      <c r="AQ56" s="17">
        <v>1096</v>
      </c>
      <c r="AS56">
        <v>2036</v>
      </c>
      <c r="AT56" s="12">
        <f>(45*24*31)+(121.8*((((BJ56/24)/31)/16000)^2)*(24*31))</f>
        <v>33480</v>
      </c>
      <c r="AU56" s="12"/>
      <c r="AW56" s="12">
        <v>0</v>
      </c>
      <c r="AX56" s="12">
        <f>1*((3.9*24*14)+(17.9*((((BF56/14)/24)/1000)^2)*(24*14)))</f>
        <v>1312.3178571428571</v>
      </c>
      <c r="AY56" s="12">
        <f>(3.6*24*31)+(17.9*((((BG56/29)/31)/1000)^2)*(24*31))</f>
        <v>2678.4</v>
      </c>
      <c r="AZ56" s="12">
        <f>2*((4.3*24*31)+(21*(((((BH56/2)/31)/24)/1250)^2)*(24*31)))</f>
        <v>6398.4</v>
      </c>
      <c r="BA56" s="12">
        <f>(3.6*24*31)+(17.9*((((BI56/31)/24)/1000)^2)*(24*31))</f>
        <v>2678.4</v>
      </c>
      <c r="BB56" s="12">
        <v>0</v>
      </c>
      <c r="BC56">
        <v>150</v>
      </c>
      <c r="BD56" s="12">
        <v>1000</v>
      </c>
      <c r="BE56" s="12">
        <v>1300</v>
      </c>
      <c r="BF56" s="12">
        <v>6000</v>
      </c>
    </row>
    <row r="57" spans="1:60">
      <c r="A57">
        <v>56</v>
      </c>
      <c r="B57">
        <v>743520</v>
      </c>
      <c r="C57">
        <v>668112</v>
      </c>
      <c r="D57">
        <v>5771</v>
      </c>
      <c r="E57">
        <v>69550.936693897471</v>
      </c>
      <c r="F57">
        <v>1353</v>
      </c>
      <c r="G57">
        <v>1196</v>
      </c>
      <c r="H57">
        <v>26</v>
      </c>
      <c r="I57">
        <v>16412</v>
      </c>
      <c r="J57">
        <v>14366</v>
      </c>
      <c r="K57">
        <v>1803</v>
      </c>
      <c r="L57">
        <v>25</v>
      </c>
      <c r="M57" s="3">
        <v>0</v>
      </c>
      <c r="N57" s="3">
        <v>0</v>
      </c>
      <c r="O57" s="3"/>
      <c r="P57" s="3">
        <v>1</v>
      </c>
      <c r="Q57" s="3"/>
      <c r="S57" s="6">
        <v>140</v>
      </c>
      <c r="T57" s="6">
        <v>1663</v>
      </c>
      <c r="U57" s="6"/>
      <c r="V57" s="6"/>
      <c r="X57" s="9">
        <v>57</v>
      </c>
      <c r="Y57" s="9">
        <v>631</v>
      </c>
      <c r="Z57" s="9">
        <v>0</v>
      </c>
      <c r="AA57" s="9">
        <v>1003</v>
      </c>
      <c r="AB57" s="9">
        <v>356</v>
      </c>
      <c r="AC57" s="9">
        <v>2224</v>
      </c>
      <c r="AD57" s="12">
        <v>1500</v>
      </c>
      <c r="AF57" s="15">
        <f t="shared" si="0"/>
        <v>1840</v>
      </c>
      <c r="AG57" s="15">
        <v>200</v>
      </c>
      <c r="AH57" s="12">
        <v>400</v>
      </c>
      <c r="AI57" s="12">
        <v>50</v>
      </c>
      <c r="AJ57" s="12">
        <v>110</v>
      </c>
      <c r="AK57" s="9">
        <v>0</v>
      </c>
      <c r="AL57" s="15">
        <v>0</v>
      </c>
      <c r="AM57" s="15">
        <v>20</v>
      </c>
      <c r="AN57" s="15">
        <v>200</v>
      </c>
      <c r="AO57" s="15">
        <v>50</v>
      </c>
      <c r="AP57" s="15">
        <v>1300</v>
      </c>
      <c r="AQ57" s="17">
        <v>1200</v>
      </c>
      <c r="AS57">
        <v>718</v>
      </c>
      <c r="AT57" s="12">
        <f>(45*24*31)+(121.8*((((BJ57/24)/31)/16000)^2)*(24*31))</f>
        <v>33480</v>
      </c>
      <c r="AU57" s="12"/>
      <c r="AW57" s="12">
        <v>0</v>
      </c>
      <c r="AX57" s="12">
        <f>0*((3.9*24*14)+(17.9*((((BF57/14)/24)/1000)^2)*(24*14)))</f>
        <v>0</v>
      </c>
      <c r="AY57" s="12">
        <f>(3.6*24*31)+(17.9*((((BG57/29)/31)/1000)^2)*(24*31))</f>
        <v>2678.4</v>
      </c>
      <c r="AZ57" s="12">
        <f>2*((4.3*24*31)+(21*(((((BH57/2)/31)/24)/1250)^2)*(24*31)))</f>
        <v>6398.4</v>
      </c>
      <c r="BA57" s="12">
        <f>(3.6*24*31)+(17.9*((((BI57/31)/24)/1000)^2)*(24*31))</f>
        <v>2678.4</v>
      </c>
      <c r="BB57" s="12">
        <v>0</v>
      </c>
      <c r="BC57">
        <v>150</v>
      </c>
      <c r="BD57" s="12">
        <v>700</v>
      </c>
      <c r="BE57" s="12">
        <v>1300</v>
      </c>
      <c r="BF57" s="12">
        <v>1300</v>
      </c>
    </row>
    <row r="58" spans="1:60">
      <c r="A58">
        <v>57</v>
      </c>
      <c r="B58">
        <v>749030</v>
      </c>
      <c r="C58">
        <v>673466</v>
      </c>
      <c r="D58">
        <v>5815</v>
      </c>
      <c r="E58">
        <v>67484.404992027994</v>
      </c>
      <c r="F58">
        <v>1635</v>
      </c>
      <c r="G58">
        <v>1377</v>
      </c>
      <c r="H58">
        <v>16</v>
      </c>
      <c r="I58">
        <v>2275</v>
      </c>
      <c r="J58">
        <v>2149</v>
      </c>
      <c r="K58">
        <v>0</v>
      </c>
      <c r="L58">
        <v>12</v>
      </c>
      <c r="M58" s="2">
        <v>0</v>
      </c>
      <c r="N58" s="2">
        <v>0</v>
      </c>
      <c r="O58" s="2"/>
      <c r="P58" s="2">
        <v>4</v>
      </c>
      <c r="Q58" s="2"/>
      <c r="S58" s="5">
        <v>0</v>
      </c>
      <c r="T58" s="5">
        <v>0</v>
      </c>
      <c r="U58" s="5"/>
      <c r="V58" s="5"/>
      <c r="X58" s="9">
        <v>177</v>
      </c>
      <c r="Y58" s="9">
        <v>760</v>
      </c>
      <c r="Z58" s="9">
        <v>0</v>
      </c>
      <c r="AA58" s="9">
        <v>455</v>
      </c>
      <c r="AB58" s="9">
        <v>699</v>
      </c>
      <c r="AC58" s="9">
        <v>2224</v>
      </c>
      <c r="AD58" s="12">
        <v>1500</v>
      </c>
      <c r="AF58" s="15">
        <f t="shared" si="0"/>
        <v>1840</v>
      </c>
      <c r="AG58" s="15">
        <v>200</v>
      </c>
      <c r="AH58" s="12">
        <v>400</v>
      </c>
      <c r="AI58" s="12">
        <v>50</v>
      </c>
      <c r="AJ58" s="12">
        <v>110</v>
      </c>
      <c r="AK58" s="9">
        <v>0</v>
      </c>
      <c r="AL58" s="15">
        <v>0</v>
      </c>
      <c r="AM58" s="15">
        <v>20</v>
      </c>
      <c r="AN58" s="15">
        <v>200</v>
      </c>
      <c r="AO58" s="15">
        <v>50</v>
      </c>
      <c r="AP58" s="15">
        <v>200</v>
      </c>
      <c r="AQ58" s="17">
        <v>1200</v>
      </c>
      <c r="AS58">
        <v>718</v>
      </c>
      <c r="AT58" s="12">
        <f>(45*24*31)+(121.8*((((BJ58/24)/31)/16000)^2)*(24*31))</f>
        <v>33480</v>
      </c>
      <c r="AU58" s="12"/>
      <c r="AW58" s="12">
        <v>0</v>
      </c>
      <c r="AX58" s="12">
        <f>0*((3.9*24*14)+(17.9*((((BF58/14)/24)/1000)^2)*(24*14)))</f>
        <v>0</v>
      </c>
      <c r="AY58" s="12">
        <f>(3.6*24*31)+(17.9*((((BG58/24)/31)/1000)^2)*(24*31))</f>
        <v>2678.4</v>
      </c>
      <c r="AZ58" s="12">
        <f>2*((4.3*24*31)+(21*(((((BH58/2)/31)/24)/1250)^2)*(24*31)))</f>
        <v>6398.4</v>
      </c>
      <c r="BA58" s="12">
        <f>(3.6*24*31)+(17.9*((((BI58/31)/24)/1000)^2)*(24*31))</f>
        <v>2678.4</v>
      </c>
      <c r="BB58" s="12">
        <v>0</v>
      </c>
      <c r="BC58">
        <v>150</v>
      </c>
      <c r="BD58" s="12">
        <v>700</v>
      </c>
      <c r="BE58" s="12">
        <v>1300</v>
      </c>
      <c r="BF58" s="12">
        <v>0</v>
      </c>
    </row>
    <row r="59" spans="1:60">
      <c r="A59">
        <v>58</v>
      </c>
      <c r="B59">
        <v>728920</v>
      </c>
      <c r="C59">
        <v>651557</v>
      </c>
      <c r="D59">
        <v>4575</v>
      </c>
      <c r="E59">
        <v>71425.518527638109</v>
      </c>
      <c r="F59">
        <v>1655</v>
      </c>
      <c r="G59">
        <v>1439</v>
      </c>
      <c r="H59">
        <v>35</v>
      </c>
      <c r="I59">
        <v>848</v>
      </c>
      <c r="J59">
        <v>844</v>
      </c>
      <c r="K59">
        <v>0</v>
      </c>
      <c r="L59">
        <v>31</v>
      </c>
      <c r="M59" s="3">
        <v>0</v>
      </c>
      <c r="N59" s="3">
        <v>0</v>
      </c>
      <c r="O59" s="3"/>
      <c r="P59" s="3">
        <v>4</v>
      </c>
      <c r="Q59" s="3"/>
      <c r="S59" s="6">
        <v>0</v>
      </c>
      <c r="T59" s="6">
        <v>0</v>
      </c>
      <c r="U59" s="6"/>
      <c r="V59" s="6"/>
      <c r="X59" s="9">
        <v>234</v>
      </c>
      <c r="Y59" s="9">
        <v>767</v>
      </c>
      <c r="Z59" s="9">
        <v>0</v>
      </c>
      <c r="AA59" s="9">
        <v>400</v>
      </c>
      <c r="AB59" s="9">
        <v>392</v>
      </c>
      <c r="AC59" s="9">
        <v>1862</v>
      </c>
      <c r="AD59" s="12">
        <v>920</v>
      </c>
      <c r="AF59" s="15">
        <f t="shared" si="0"/>
        <v>1840</v>
      </c>
      <c r="AG59" s="15">
        <v>200</v>
      </c>
      <c r="AH59" s="12">
        <v>400</v>
      </c>
      <c r="AI59" s="12">
        <v>50</v>
      </c>
      <c r="AJ59" s="12">
        <v>110</v>
      </c>
      <c r="AK59" s="9">
        <v>0</v>
      </c>
      <c r="AL59" s="15">
        <v>0</v>
      </c>
      <c r="AM59" s="15">
        <v>20</v>
      </c>
      <c r="AN59" s="15">
        <v>200</v>
      </c>
      <c r="AO59" s="15">
        <v>50</v>
      </c>
      <c r="AP59" s="15">
        <v>200</v>
      </c>
      <c r="AQ59" s="17">
        <v>1400</v>
      </c>
      <c r="AS59">
        <v>1300</v>
      </c>
      <c r="AT59" s="12">
        <f>(47*24*30)+(121.8*((((BJ59/24)/30)/16000)^2)*(24*30))</f>
        <v>33840</v>
      </c>
      <c r="AU59" s="12"/>
      <c r="AW59" s="12">
        <v>0</v>
      </c>
      <c r="AX59" s="12">
        <f>0*((3.9*24*14)+(17.9*((((BF59/14)/24)/1000)^2)*(24*14)))</f>
        <v>0</v>
      </c>
      <c r="AY59" s="12">
        <f>(3.6*24*31)+(17.9*((((BG59/24)/31)/1000)^2)*(24*31))</f>
        <v>2678.4240591397852</v>
      </c>
      <c r="AZ59" s="12">
        <f>2*((4.3*24*30)+(21*(((((BH59/2)/30)/24)/1250)^2)*(24*30)))</f>
        <v>6191.9999999999991</v>
      </c>
      <c r="BA59" s="12">
        <f>(3.6*24*30)+(17.9*((((BI59/30)/24)/1000)^2)*(24*30))</f>
        <v>2592</v>
      </c>
      <c r="BB59" s="12">
        <v>0</v>
      </c>
      <c r="BC59">
        <v>150</v>
      </c>
      <c r="BD59" s="12">
        <v>700</v>
      </c>
      <c r="BE59" s="12">
        <v>1300</v>
      </c>
      <c r="BF59" s="12">
        <v>0</v>
      </c>
      <c r="BG59" s="12">
        <v>1000</v>
      </c>
      <c r="BH59" s="12"/>
    </row>
    <row r="60" spans="1:60">
      <c r="A60">
        <v>59</v>
      </c>
      <c r="B60">
        <v>721820</v>
      </c>
      <c r="C60">
        <v>650080</v>
      </c>
      <c r="D60">
        <v>4805</v>
      </c>
      <c r="E60">
        <v>70531.881510755658</v>
      </c>
      <c r="F60">
        <v>1899</v>
      </c>
      <c r="G60">
        <v>1493</v>
      </c>
      <c r="H60">
        <v>25</v>
      </c>
      <c r="I60">
        <v>506</v>
      </c>
      <c r="J60">
        <v>476</v>
      </c>
      <c r="K60">
        <v>0</v>
      </c>
      <c r="L60">
        <v>22</v>
      </c>
      <c r="M60" s="2">
        <v>0</v>
      </c>
      <c r="N60" s="2">
        <v>0</v>
      </c>
      <c r="O60" s="2"/>
      <c r="P60" s="2">
        <v>3</v>
      </c>
      <c r="Q60" s="2"/>
      <c r="S60" s="5">
        <v>0</v>
      </c>
      <c r="T60" s="5">
        <v>0</v>
      </c>
      <c r="U60" s="5"/>
      <c r="V60" s="5"/>
      <c r="X60" s="9">
        <v>294</v>
      </c>
      <c r="Y60" s="9">
        <v>871</v>
      </c>
      <c r="Z60" s="9">
        <v>0</v>
      </c>
      <c r="AA60" s="9">
        <v>563</v>
      </c>
      <c r="AB60" s="9">
        <v>315</v>
      </c>
      <c r="AC60" s="9">
        <v>1842</v>
      </c>
      <c r="AD60" s="12">
        <v>920</v>
      </c>
      <c r="AF60" s="15">
        <f t="shared" si="0"/>
        <v>1840</v>
      </c>
      <c r="AG60" s="15">
        <v>200</v>
      </c>
      <c r="AH60" s="12">
        <v>400</v>
      </c>
      <c r="AI60" s="12">
        <v>50</v>
      </c>
      <c r="AJ60" s="12">
        <v>110</v>
      </c>
      <c r="AK60" s="9">
        <v>0</v>
      </c>
      <c r="AL60" s="15">
        <v>0</v>
      </c>
      <c r="AM60" s="15">
        <v>20</v>
      </c>
      <c r="AN60" s="15">
        <v>200</v>
      </c>
      <c r="AO60" s="15">
        <v>50</v>
      </c>
      <c r="AP60" s="15">
        <v>200</v>
      </c>
      <c r="AQ60" s="17">
        <v>2336</v>
      </c>
      <c r="AS60">
        <v>850</v>
      </c>
      <c r="AT60" s="12">
        <f>(47*24*30)+(121.8*((((BJ60/24)/31)/16000)^2)*(24*31))</f>
        <v>33840</v>
      </c>
      <c r="AU60" s="12"/>
      <c r="AW60" s="12">
        <v>0</v>
      </c>
      <c r="AX60" s="12">
        <f>0*((3.9*24*14)+(17.9*((((BF60/14)/24)/1000)^2)*(24*14)))</f>
        <v>0</v>
      </c>
      <c r="AY60" s="12">
        <f>(3.6*24*30)+(17.9*((((BG60/24)/31)/1000)^2)*(24*31))</f>
        <v>2592.0240591397851</v>
      </c>
      <c r="AZ60" s="12">
        <f>2*((4.3*24*30)+(21*(((((BH60/2)/31)/24)/1250)^2)*(24*31)))</f>
        <v>6191.9999999999991</v>
      </c>
      <c r="BA60" s="12">
        <f>(3.6*24*30)+(17.9*((((BI60/31)/24)/1000)^2)*(24*31))</f>
        <v>2592</v>
      </c>
      <c r="BB60" s="12">
        <v>0</v>
      </c>
      <c r="BC60">
        <v>1050</v>
      </c>
      <c r="BD60" s="12">
        <v>500</v>
      </c>
      <c r="BE60" s="12">
        <v>1300</v>
      </c>
      <c r="BF60" s="12">
        <v>0</v>
      </c>
      <c r="BG60" s="12">
        <v>1000</v>
      </c>
      <c r="BH60" s="12"/>
    </row>
    <row r="61" spans="1:60">
      <c r="A61">
        <v>60</v>
      </c>
      <c r="B61">
        <v>721815</v>
      </c>
      <c r="C61">
        <v>655680</v>
      </c>
      <c r="D61">
        <v>4654</v>
      </c>
      <c r="E61">
        <v>58723.437779996792</v>
      </c>
      <c r="F61">
        <v>1939</v>
      </c>
      <c r="G61">
        <v>1527</v>
      </c>
      <c r="H61">
        <v>14</v>
      </c>
      <c r="I61">
        <v>339</v>
      </c>
      <c r="J61">
        <v>4533</v>
      </c>
      <c r="K61">
        <v>0</v>
      </c>
      <c r="L61">
        <v>11</v>
      </c>
      <c r="M61" s="3">
        <v>0</v>
      </c>
      <c r="N61" s="3">
        <v>0</v>
      </c>
      <c r="O61" s="3"/>
      <c r="P61" s="3">
        <v>3</v>
      </c>
      <c r="Q61" s="3"/>
      <c r="S61" s="6">
        <v>0</v>
      </c>
      <c r="T61" s="6">
        <v>0</v>
      </c>
      <c r="U61" s="6"/>
      <c r="V61" s="6"/>
      <c r="X61" s="9">
        <v>285</v>
      </c>
      <c r="Y61" s="9">
        <v>877</v>
      </c>
      <c r="Z61" s="9">
        <v>0</v>
      </c>
      <c r="AA61" s="9">
        <v>451</v>
      </c>
      <c r="AB61" s="9">
        <v>179</v>
      </c>
      <c r="AC61" s="9">
        <v>1942</v>
      </c>
      <c r="AD61" s="12">
        <v>920</v>
      </c>
      <c r="AF61" s="15">
        <f t="shared" si="0"/>
        <v>1840</v>
      </c>
      <c r="AG61" s="15">
        <v>200</v>
      </c>
      <c r="AH61" s="12">
        <v>400</v>
      </c>
      <c r="AI61" s="12">
        <v>50</v>
      </c>
      <c r="AJ61" s="12">
        <v>110</v>
      </c>
      <c r="AK61" s="9">
        <v>0</v>
      </c>
      <c r="AL61" s="15">
        <v>0</v>
      </c>
      <c r="AM61" s="15">
        <v>20</v>
      </c>
      <c r="AN61" s="15">
        <v>200</v>
      </c>
      <c r="AO61" s="15">
        <v>50</v>
      </c>
      <c r="AP61" s="15">
        <v>200</v>
      </c>
      <c r="AQ61" s="17">
        <v>2552</v>
      </c>
      <c r="AS61">
        <v>1000</v>
      </c>
      <c r="AT61" s="12">
        <f>(47*24*12.25)+(121.8*((((BJ61/24)/12.25)/16000)^2)*(24*12.25))</f>
        <v>13818</v>
      </c>
      <c r="AU61" s="12"/>
      <c r="AW61" s="12">
        <f>(15*24*18.75)+(58.2*((((BK61/18.75)/24)/6300)^2)*(24*18.75))</f>
        <v>6750</v>
      </c>
      <c r="AX61" s="12">
        <f>1*((3.9*24*14)+(17.9*((((BF61/14)/24)/1000)^2)*(24*14)))</f>
        <v>1310.3999999999999</v>
      </c>
      <c r="AY61" s="12">
        <f>(3.6*24*31)+(17.9*((((BG61/24)/31)/1000)^2)*(24*31))</f>
        <v>2678.4240591397852</v>
      </c>
      <c r="AZ61" s="12">
        <f>2*((4.3*24*31)+(21*(((((BH61/2)/31)/24)/1250)^2)*(24*31)))</f>
        <v>6398.5445161290318</v>
      </c>
      <c r="BA61" s="12">
        <f>(3.6*24*31)+(17.9*((((BI61/31)/24)/1000)^2)*(24*31))</f>
        <v>2678.4</v>
      </c>
      <c r="BB61" s="12">
        <v>0</v>
      </c>
      <c r="BC61">
        <v>150</v>
      </c>
      <c r="BD61" s="12">
        <v>500</v>
      </c>
      <c r="BE61" s="12">
        <v>1300</v>
      </c>
      <c r="BF61" s="12">
        <v>0</v>
      </c>
      <c r="BG61" s="12">
        <v>1000</v>
      </c>
      <c r="BH61" s="12">
        <v>4000</v>
      </c>
    </row>
    <row r="62" spans="1:60">
      <c r="A62">
        <v>61</v>
      </c>
      <c r="B62">
        <v>659969</v>
      </c>
      <c r="C62">
        <v>605326</v>
      </c>
      <c r="D62">
        <v>6101</v>
      </c>
      <c r="E62">
        <v>47878.433794584424</v>
      </c>
      <c r="F62">
        <v>3322</v>
      </c>
      <c r="G62">
        <v>1467</v>
      </c>
      <c r="H62">
        <v>16</v>
      </c>
      <c r="I62">
        <v>2940</v>
      </c>
      <c r="J62">
        <v>2803</v>
      </c>
      <c r="K62">
        <v>0</v>
      </c>
      <c r="L62">
        <v>12</v>
      </c>
      <c r="M62" s="2">
        <v>0</v>
      </c>
      <c r="N62" s="2">
        <v>0</v>
      </c>
      <c r="O62" s="2"/>
      <c r="P62" s="2">
        <v>4</v>
      </c>
      <c r="Q62" s="2"/>
      <c r="S62" s="5">
        <v>0</v>
      </c>
      <c r="T62" s="5">
        <v>0</v>
      </c>
      <c r="U62" s="5"/>
      <c r="V62" s="5"/>
      <c r="X62" s="9">
        <v>288</v>
      </c>
      <c r="Y62" s="9">
        <v>1496</v>
      </c>
      <c r="Z62" s="9">
        <v>0</v>
      </c>
      <c r="AA62" s="9">
        <v>451</v>
      </c>
      <c r="AB62" s="9">
        <v>577</v>
      </c>
      <c r="AC62" s="9">
        <v>1889</v>
      </c>
      <c r="AD62" s="12">
        <v>1400</v>
      </c>
      <c r="AF62" s="15">
        <f t="shared" si="0"/>
        <v>1840</v>
      </c>
      <c r="AG62" s="15">
        <v>200</v>
      </c>
      <c r="AH62" s="12">
        <v>400</v>
      </c>
      <c r="AI62" s="12">
        <v>50</v>
      </c>
      <c r="AJ62" s="12">
        <v>110</v>
      </c>
      <c r="AK62" s="9">
        <v>0</v>
      </c>
      <c r="AL62" s="15">
        <v>0</v>
      </c>
      <c r="AM62" s="15">
        <v>20</v>
      </c>
      <c r="AN62" s="15">
        <v>200</v>
      </c>
      <c r="AO62" s="15">
        <v>50</v>
      </c>
      <c r="AP62" s="15">
        <v>1200</v>
      </c>
      <c r="AQ62" s="17">
        <v>2768</v>
      </c>
      <c r="AS62">
        <v>2000</v>
      </c>
      <c r="AT62" s="12">
        <v>0</v>
      </c>
      <c r="AU62" s="12"/>
      <c r="AW62" s="12">
        <f>(16*24*30)+(58.2*((((BK62/30)/24)/6300)^2)*(24*30))</f>
        <v>11520</v>
      </c>
      <c r="AX62" s="12">
        <v>0</v>
      </c>
      <c r="AY62" s="12">
        <f>(3.6*24*30)+(17.9*((((BG62/24)/30)/1000)^2)*(24*30))</f>
        <v>2592.024861111111</v>
      </c>
      <c r="AZ62" s="12">
        <f>2*((4.3*24*30)+(21*(((((BH62/2)/30)/24)/1250)^2)*(24*30)))</f>
        <v>6192.1889999999994</v>
      </c>
      <c r="BA62" s="12">
        <f>(3.6*24*30)+(17.9*((((BI62/30)/24)/1000)^2)*(24*30))</f>
        <v>2592</v>
      </c>
      <c r="BB62" s="12">
        <v>0</v>
      </c>
      <c r="BC62">
        <v>150</v>
      </c>
      <c r="BD62" s="12">
        <v>500</v>
      </c>
      <c r="BE62" s="12">
        <v>1300</v>
      </c>
      <c r="BF62" s="12">
        <v>0</v>
      </c>
      <c r="BG62" s="12">
        <v>1000</v>
      </c>
      <c r="BH62" s="12">
        <v>4500</v>
      </c>
    </row>
    <row r="63" spans="1:60">
      <c r="A63">
        <v>62</v>
      </c>
      <c r="B63">
        <v>815721</v>
      </c>
      <c r="C63">
        <v>739199</v>
      </c>
      <c r="D63">
        <v>6885</v>
      </c>
      <c r="E63">
        <v>69501.72909744209</v>
      </c>
      <c r="F63">
        <v>2088</v>
      </c>
      <c r="G63">
        <v>1410</v>
      </c>
      <c r="H63">
        <v>11</v>
      </c>
      <c r="I63">
        <v>25119</v>
      </c>
      <c r="J63">
        <v>23147</v>
      </c>
      <c r="K63">
        <v>1961</v>
      </c>
      <c r="L63">
        <v>8</v>
      </c>
      <c r="M63" s="3">
        <v>0</v>
      </c>
      <c r="N63" s="3">
        <v>0</v>
      </c>
      <c r="O63" s="3"/>
      <c r="P63" s="3">
        <v>3</v>
      </c>
      <c r="Q63" s="3"/>
      <c r="S63" s="6">
        <v>54</v>
      </c>
      <c r="T63" s="6">
        <v>1907</v>
      </c>
      <c r="U63" s="6"/>
      <c r="V63" s="6"/>
      <c r="X63" s="9">
        <v>525</v>
      </c>
      <c r="Y63" s="9">
        <v>912</v>
      </c>
      <c r="Z63" s="9">
        <v>0</v>
      </c>
      <c r="AA63" s="9">
        <v>748</v>
      </c>
      <c r="AB63" s="9">
        <v>917</v>
      </c>
      <c r="AC63" s="9">
        <v>2383</v>
      </c>
      <c r="AD63" s="12">
        <v>1400</v>
      </c>
      <c r="AF63" s="15">
        <f t="shared" si="0"/>
        <v>1840</v>
      </c>
      <c r="AG63" s="15">
        <v>200</v>
      </c>
      <c r="AH63" s="12">
        <v>400</v>
      </c>
      <c r="AI63" s="12">
        <v>50</v>
      </c>
      <c r="AJ63" s="12">
        <v>110</v>
      </c>
      <c r="AK63" s="9">
        <v>0</v>
      </c>
      <c r="AL63" s="15">
        <v>0</v>
      </c>
      <c r="AM63" s="15">
        <v>20</v>
      </c>
      <c r="AN63" s="15">
        <v>200</v>
      </c>
      <c r="AO63" s="15">
        <v>50</v>
      </c>
      <c r="AP63" s="15">
        <v>200</v>
      </c>
      <c r="AQ63" s="15">
        <v>15500</v>
      </c>
      <c r="AS63">
        <v>2000</v>
      </c>
      <c r="AT63" s="12">
        <f>(50*24*5.5)+(121.8*((((BJ63/24)/5.5)/16000)^2)*(24*5.5))</f>
        <v>6600</v>
      </c>
      <c r="AU63" s="12"/>
      <c r="AW63" s="12">
        <f>(16*24*31)+(58.2*((((BK63/31)/24)/6300)^2)*(24*31))</f>
        <v>11904</v>
      </c>
      <c r="AX63" s="12">
        <v>0</v>
      </c>
      <c r="AY63" s="12">
        <f>(3.6*24*30)+(17.9*((((BG63/24)/30)/1000)^2)*(24*30))</f>
        <v>2592.024861111111</v>
      </c>
      <c r="AZ63" s="12">
        <f>2*((4.3*24*30)+(21*(((((BH63/2)/30)/24)/1250)^2)*(24*30)))</f>
        <v>6192.1889999999994</v>
      </c>
      <c r="BA63" s="12">
        <f>(3.6*24*30)+(17.9*((((BI63/30)/24)/1000)^2)*(24*30))</f>
        <v>2592</v>
      </c>
      <c r="BB63" s="12">
        <v>0</v>
      </c>
      <c r="BC63">
        <v>150</v>
      </c>
      <c r="BD63" s="12">
        <v>500</v>
      </c>
      <c r="BE63" s="12">
        <v>1300</v>
      </c>
      <c r="BF63" s="12">
        <f>1500+1900</f>
        <v>3400</v>
      </c>
      <c r="BG63" s="12">
        <v>1000</v>
      </c>
      <c r="BH63" s="12">
        <v>4500</v>
      </c>
    </row>
    <row r="64" spans="1:60">
      <c r="A64">
        <v>63</v>
      </c>
      <c r="B64">
        <v>823880</v>
      </c>
      <c r="C64">
        <v>744720</v>
      </c>
      <c r="D64">
        <v>7008</v>
      </c>
      <c r="E64">
        <v>73956.408451026015</v>
      </c>
      <c r="F64">
        <v>1963</v>
      </c>
      <c r="G64">
        <v>1015</v>
      </c>
      <c r="H64">
        <v>19</v>
      </c>
      <c r="I64">
        <v>46930</v>
      </c>
      <c r="J64">
        <v>39660</v>
      </c>
      <c r="K64">
        <v>2695.9</v>
      </c>
      <c r="L64">
        <v>14</v>
      </c>
      <c r="M64" s="2">
        <v>0</v>
      </c>
      <c r="N64" s="2">
        <v>0</v>
      </c>
      <c r="O64" s="2"/>
      <c r="P64" s="2">
        <v>5</v>
      </c>
      <c r="Q64" s="2"/>
      <c r="S64" s="5">
        <v>242</v>
      </c>
      <c r="T64" s="5">
        <v>2453.9</v>
      </c>
      <c r="U64" s="5"/>
      <c r="V64" s="5"/>
      <c r="X64" s="9">
        <v>444</v>
      </c>
      <c r="Y64" s="9">
        <v>854</v>
      </c>
      <c r="Z64" s="9">
        <v>0</v>
      </c>
      <c r="AA64" s="9">
        <v>864</v>
      </c>
      <c r="AB64" s="9">
        <v>1129</v>
      </c>
      <c r="AC64" s="9">
        <v>2317</v>
      </c>
      <c r="AD64" s="12">
        <v>1400</v>
      </c>
      <c r="AF64" s="15">
        <f t="shared" si="0"/>
        <v>1840</v>
      </c>
      <c r="AG64" s="15">
        <v>200</v>
      </c>
      <c r="AH64" s="12">
        <v>400</v>
      </c>
      <c r="AI64" s="12">
        <v>50</v>
      </c>
      <c r="AJ64" s="12">
        <v>110</v>
      </c>
      <c r="AK64" s="9">
        <v>0</v>
      </c>
      <c r="AL64" s="15">
        <v>0</v>
      </c>
      <c r="AM64" s="15">
        <v>20</v>
      </c>
      <c r="AN64" s="15">
        <v>200</v>
      </c>
      <c r="AO64" s="15">
        <v>50</v>
      </c>
      <c r="AP64" s="15">
        <v>200</v>
      </c>
      <c r="AQ64" s="15">
        <v>13000</v>
      </c>
      <c r="AS64">
        <v>2000</v>
      </c>
      <c r="AT64" s="12">
        <f>(50*24*11.75)+(121.8*((((BJ64/24)/11.75)/16000)^2)*(24*11.75))</f>
        <v>14100</v>
      </c>
      <c r="AU64" s="12"/>
      <c r="AW64" s="12">
        <f>(16*24*29.5)+(58.2*((((BK64/29.5/24)/6300)^2)*(24*29.5)))</f>
        <v>11328</v>
      </c>
      <c r="AX64" s="12">
        <v>0</v>
      </c>
      <c r="AY64" s="12">
        <f>(3.6*24*30)+(17.9*((((BG64/24)/30)/1000)^2)*(24*30))</f>
        <v>2592.024861111111</v>
      </c>
      <c r="AZ64" s="12">
        <f>2*((4.3*24*30)+(21*(((((BH64/2)/30)/24)/1250)^2)*(24*30)))</f>
        <v>6192.1889999999994</v>
      </c>
      <c r="BA64" s="12">
        <f>(3.6*24*30)+(17.9*((((BI64/30)/24)/1000)^2)*(24*30))</f>
        <v>2592</v>
      </c>
      <c r="BB64" s="12">
        <v>0</v>
      </c>
      <c r="BC64">
        <v>150</v>
      </c>
      <c r="BD64" s="12">
        <v>500</v>
      </c>
      <c r="BE64" s="12">
        <v>1300</v>
      </c>
      <c r="BF64" s="12">
        <f>1500+1900</f>
        <v>3400</v>
      </c>
      <c r="BG64" s="12">
        <v>1000</v>
      </c>
      <c r="BH64" s="12">
        <v>4500</v>
      </c>
    </row>
    <row r="65" spans="1:60">
      <c r="A65">
        <v>64</v>
      </c>
      <c r="B65">
        <v>806110</v>
      </c>
      <c r="C65">
        <v>710432</v>
      </c>
      <c r="D65">
        <v>7392</v>
      </c>
      <c r="E65">
        <v>89160.444784157531</v>
      </c>
      <c r="F65">
        <v>1106</v>
      </c>
      <c r="G65">
        <v>610</v>
      </c>
      <c r="H65">
        <v>6</v>
      </c>
      <c r="I65">
        <v>66427</v>
      </c>
      <c r="J65">
        <v>60216</v>
      </c>
      <c r="K65">
        <v>3740</v>
      </c>
      <c r="L65">
        <v>2</v>
      </c>
      <c r="M65" s="3">
        <v>0</v>
      </c>
      <c r="N65" s="3">
        <v>0</v>
      </c>
      <c r="O65" s="3"/>
      <c r="P65" s="3">
        <v>4</v>
      </c>
      <c r="Q65" s="3"/>
      <c r="S65" s="6">
        <v>678</v>
      </c>
      <c r="T65" s="6">
        <v>3062</v>
      </c>
      <c r="U65" s="6"/>
      <c r="V65" s="6"/>
      <c r="X65" s="9">
        <v>570</v>
      </c>
      <c r="Y65" s="9">
        <v>480</v>
      </c>
      <c r="Z65" s="9">
        <v>0</v>
      </c>
      <c r="AA65" s="9">
        <v>1380</v>
      </c>
      <c r="AB65" s="9">
        <v>1281</v>
      </c>
      <c r="AC65" s="9">
        <v>2181</v>
      </c>
      <c r="AD65" s="12">
        <v>1500</v>
      </c>
      <c r="AF65" s="15">
        <f t="shared" si="0"/>
        <v>1840</v>
      </c>
      <c r="AG65" s="15">
        <v>200</v>
      </c>
      <c r="AH65" s="12">
        <v>400</v>
      </c>
      <c r="AI65" s="12">
        <v>50</v>
      </c>
      <c r="AJ65" s="12">
        <v>110</v>
      </c>
      <c r="AK65" s="9">
        <v>0</v>
      </c>
      <c r="AL65" s="15">
        <v>0</v>
      </c>
      <c r="AM65" s="15">
        <v>20</v>
      </c>
      <c r="AN65" s="15">
        <v>200</v>
      </c>
      <c r="AO65" s="15">
        <v>50</v>
      </c>
      <c r="AP65" s="15">
        <v>200</v>
      </c>
      <c r="AQ65" s="15">
        <f>215*55</f>
        <v>11825</v>
      </c>
      <c r="AS65">
        <v>2144</v>
      </c>
      <c r="AT65" s="12">
        <f>(50*24*31)+(121.8*((((BJ65/24)/31)/16000)^2)*(24*31))</f>
        <v>37200</v>
      </c>
      <c r="AU65" s="12"/>
      <c r="AW65" s="12">
        <v>0</v>
      </c>
      <c r="AX65" s="12">
        <v>0</v>
      </c>
      <c r="AY65" s="12">
        <f>(3.6*24*31)+(17.9*((((BG65/24)/31)/1000)^2)*(24*31))</f>
        <v>2678.4240591397852</v>
      </c>
      <c r="AZ65" s="12">
        <f>2*((4.3*24*31)+(21*(((((BH65/2)/31)/24)/1250)^2)*(24*31)))</f>
        <v>6398.5829032258061</v>
      </c>
      <c r="BA65" s="12">
        <f>(3.6*24*31)+(17.9*((((BI65/31)/24)/1000)^2)*(24*31))</f>
        <v>2678.4</v>
      </c>
      <c r="BB65" s="12">
        <v>0</v>
      </c>
      <c r="BC65">
        <v>150</v>
      </c>
      <c r="BD65" s="12">
        <v>500</v>
      </c>
      <c r="BE65" s="12">
        <v>1300</v>
      </c>
      <c r="BF65" s="12">
        <f>1500+1900</f>
        <v>3400</v>
      </c>
      <c r="BG65" s="12">
        <v>1000</v>
      </c>
      <c r="BH65" s="12">
        <v>4500</v>
      </c>
    </row>
    <row r="66" spans="1:60">
      <c r="A66">
        <v>65</v>
      </c>
      <c r="B66">
        <v>975710</v>
      </c>
      <c r="C66">
        <v>870392</v>
      </c>
      <c r="D66">
        <v>7723</v>
      </c>
      <c r="E66">
        <v>97572.730013122578</v>
      </c>
      <c r="F66">
        <v>1234</v>
      </c>
      <c r="G66">
        <v>1623</v>
      </c>
      <c r="H66">
        <v>8</v>
      </c>
      <c r="I66">
        <v>72677</v>
      </c>
      <c r="J66">
        <v>65428</v>
      </c>
      <c r="K66">
        <v>4683</v>
      </c>
      <c r="L66">
        <v>4</v>
      </c>
      <c r="M66" s="2">
        <v>0</v>
      </c>
      <c r="N66" s="2">
        <v>0</v>
      </c>
      <c r="O66" s="2"/>
      <c r="P66" s="2">
        <v>4</v>
      </c>
      <c r="Q66" s="2"/>
      <c r="S66" s="5">
        <v>771</v>
      </c>
      <c r="T66" s="5">
        <v>3912</v>
      </c>
      <c r="U66" s="5"/>
      <c r="V66" s="5"/>
      <c r="X66" s="9">
        <v>342</v>
      </c>
      <c r="Y66" s="9">
        <v>535</v>
      </c>
      <c r="Z66" s="9">
        <v>0</v>
      </c>
      <c r="AA66" s="9">
        <v>1524</v>
      </c>
      <c r="AB66" s="9">
        <v>1357</v>
      </c>
      <c r="AC66" s="9">
        <v>2465</v>
      </c>
      <c r="AD66" s="12">
        <v>1500</v>
      </c>
      <c r="AF66" s="15">
        <f t="shared" si="0"/>
        <v>1840</v>
      </c>
      <c r="AG66" s="15">
        <v>200</v>
      </c>
      <c r="AH66" s="12">
        <v>400</v>
      </c>
      <c r="AI66" s="12">
        <v>50</v>
      </c>
      <c r="AJ66" s="12">
        <v>110</v>
      </c>
      <c r="AK66" s="9">
        <v>0</v>
      </c>
      <c r="AL66" s="15">
        <v>0</v>
      </c>
      <c r="AM66" s="15">
        <v>20</v>
      </c>
      <c r="AN66" s="15">
        <v>200</v>
      </c>
      <c r="AO66" s="15">
        <v>50</v>
      </c>
      <c r="AP66" s="15">
        <v>200</v>
      </c>
      <c r="AQ66" s="15">
        <f>335*55</f>
        <v>18425</v>
      </c>
      <c r="AS66">
        <v>2180</v>
      </c>
      <c r="AT66" s="12">
        <f>(50*24*31)+(121.8*((((BJ66/24)/31)/16000)^2)*(24*31))</f>
        <v>37200</v>
      </c>
      <c r="AU66" s="12"/>
      <c r="AW66" s="12">
        <v>0</v>
      </c>
      <c r="AX66" s="12">
        <v>0</v>
      </c>
      <c r="AY66" s="12">
        <f>(3.6*24*31)+(17.9*((((BG66/24)/31)/1000)^2)*(24*31))</f>
        <v>2678.4240591397852</v>
      </c>
      <c r="AZ66" s="12">
        <f>2*((4.3*24*31)+(21*(((((BH66/2)/31)/24)/1250)^2)*(24*31)))</f>
        <v>6398.5829032258061</v>
      </c>
      <c r="BA66" s="12">
        <f>(3.6*24*31)+(17.9*((((BI66/31)/24)/1000)^2)*(24*31))</f>
        <v>2678.4</v>
      </c>
      <c r="BB66" s="12">
        <v>0</v>
      </c>
      <c r="BC66">
        <v>150</v>
      </c>
      <c r="BD66" s="12">
        <v>500</v>
      </c>
      <c r="BE66" s="12">
        <v>1300</v>
      </c>
      <c r="BF66" s="12">
        <v>3500</v>
      </c>
      <c r="BG66" s="12">
        <v>1000</v>
      </c>
      <c r="BH66" s="12">
        <v>4500</v>
      </c>
    </row>
    <row r="67" spans="1:60">
      <c r="A67">
        <v>66</v>
      </c>
      <c r="B67">
        <v>904410</v>
      </c>
      <c r="C67">
        <v>809674</v>
      </c>
      <c r="D67">
        <v>7544</v>
      </c>
      <c r="E67">
        <v>87408.748686166407</v>
      </c>
      <c r="F67">
        <v>1144</v>
      </c>
      <c r="G67">
        <v>690</v>
      </c>
      <c r="H67">
        <v>5</v>
      </c>
      <c r="I67">
        <v>61565</v>
      </c>
      <c r="J67">
        <v>52963</v>
      </c>
      <c r="K67">
        <v>4757</v>
      </c>
      <c r="L67">
        <v>5</v>
      </c>
      <c r="M67" s="3">
        <v>0</v>
      </c>
      <c r="N67" s="3">
        <v>0</v>
      </c>
      <c r="O67" s="3"/>
      <c r="P67" s="3">
        <v>0</v>
      </c>
      <c r="Q67" s="3"/>
      <c r="S67" s="6">
        <v>1167</v>
      </c>
      <c r="T67" s="6">
        <v>3590</v>
      </c>
      <c r="U67" s="6"/>
      <c r="V67" s="6"/>
      <c r="X67" s="9">
        <v>609</v>
      </c>
      <c r="Y67" s="9">
        <v>500</v>
      </c>
      <c r="Z67" s="9">
        <v>0</v>
      </c>
      <c r="AA67" s="9">
        <v>1586</v>
      </c>
      <c r="AB67" s="9">
        <v>1235</v>
      </c>
      <c r="AC67" s="9">
        <v>2114</v>
      </c>
      <c r="AD67" s="12">
        <v>1500</v>
      </c>
      <c r="AF67" s="15">
        <f t="shared" si="0"/>
        <v>1840</v>
      </c>
      <c r="AG67" s="15">
        <v>200</v>
      </c>
      <c r="AH67" s="12">
        <v>400</v>
      </c>
      <c r="AI67" s="12">
        <v>50</v>
      </c>
      <c r="AJ67" s="12">
        <v>110</v>
      </c>
      <c r="AK67" s="9">
        <v>0</v>
      </c>
      <c r="AL67" s="15">
        <v>0</v>
      </c>
      <c r="AM67" s="15">
        <v>20</v>
      </c>
      <c r="AN67" s="15">
        <v>200</v>
      </c>
      <c r="AO67" s="15">
        <v>50</v>
      </c>
      <c r="AP67" s="15">
        <v>200</v>
      </c>
      <c r="AQ67" s="15">
        <f>319*55</f>
        <v>17545</v>
      </c>
      <c r="AS67">
        <v>2132</v>
      </c>
      <c r="AT67" s="12">
        <f>(50*24*28)+(121.8*((((BJ67/24)/28)/16000)^2)*(24*28))</f>
        <v>33600</v>
      </c>
      <c r="AU67" s="12"/>
      <c r="AW67" s="12">
        <v>0</v>
      </c>
      <c r="AX67" s="12">
        <v>0</v>
      </c>
      <c r="AY67" s="12">
        <f>(3.6*24*28)+(17.9*((((BG67/24)/28)/1000)^2)*(24*28))</f>
        <v>2419.226636904762</v>
      </c>
      <c r="AZ67" s="12">
        <f>2*((4.3*24*28)+(21*(((((BH67/2)/28)/24)/1250)^2)*(24*28)))</f>
        <v>5779.1999999999989</v>
      </c>
      <c r="BA67" s="12">
        <f>(3.6*24*28)+(17.9*((((BI67/28)/24)/1000)^2)*(24*28))</f>
        <v>2419.2000000000003</v>
      </c>
      <c r="BB67" s="12">
        <v>0</v>
      </c>
      <c r="BC67">
        <v>150</v>
      </c>
      <c r="BD67" s="12">
        <v>500</v>
      </c>
      <c r="BE67" s="12">
        <v>1300</v>
      </c>
      <c r="BF67" s="12">
        <v>4500</v>
      </c>
      <c r="BG67" s="12">
        <v>1000</v>
      </c>
      <c r="BH67" s="12">
        <v>0</v>
      </c>
    </row>
    <row r="68" spans="1:60">
      <c r="A68">
        <v>67</v>
      </c>
      <c r="B68">
        <v>952410</v>
      </c>
      <c r="C68">
        <v>852614</v>
      </c>
      <c r="D68">
        <v>7064</v>
      </c>
      <c r="E68">
        <v>89270.577552222894</v>
      </c>
      <c r="F68">
        <v>1135</v>
      </c>
      <c r="G68">
        <v>735</v>
      </c>
      <c r="H68">
        <v>4</v>
      </c>
      <c r="I68">
        <v>61006</v>
      </c>
      <c r="J68">
        <v>53272</v>
      </c>
      <c r="K68">
        <v>4013</v>
      </c>
      <c r="L68">
        <v>4</v>
      </c>
      <c r="M68" s="2">
        <v>0</v>
      </c>
      <c r="N68" s="2">
        <v>0</v>
      </c>
      <c r="O68" s="2"/>
      <c r="P68" s="2">
        <v>0</v>
      </c>
      <c r="Q68" s="2"/>
      <c r="S68" s="5">
        <v>1080</v>
      </c>
      <c r="T68" s="5">
        <v>2933</v>
      </c>
      <c r="U68" s="5"/>
      <c r="V68" s="5"/>
      <c r="X68" s="9">
        <v>441</v>
      </c>
      <c r="Y68" s="9">
        <v>495</v>
      </c>
      <c r="Z68" s="9">
        <v>0</v>
      </c>
      <c r="AA68" s="9">
        <v>1656</v>
      </c>
      <c r="AB68" s="9">
        <v>1009</v>
      </c>
      <c r="AC68" s="9">
        <v>1963</v>
      </c>
      <c r="AD68" s="12">
        <v>1500</v>
      </c>
      <c r="AF68" s="15">
        <f t="shared" si="0"/>
        <v>1840</v>
      </c>
      <c r="AG68" s="15">
        <v>200</v>
      </c>
      <c r="AH68" s="12">
        <v>400</v>
      </c>
      <c r="AI68" s="12">
        <v>50</v>
      </c>
      <c r="AJ68" s="12">
        <v>110</v>
      </c>
      <c r="AK68" s="9">
        <v>0</v>
      </c>
      <c r="AL68" s="15">
        <v>0</v>
      </c>
      <c r="AM68" s="15">
        <v>20</v>
      </c>
      <c r="AN68" s="15">
        <v>200</v>
      </c>
      <c r="AO68" s="15">
        <v>50</v>
      </c>
      <c r="AP68" s="15">
        <v>200</v>
      </c>
      <c r="AQ68" s="17">
        <v>11330</v>
      </c>
      <c r="AS68">
        <v>2132</v>
      </c>
      <c r="AT68" s="12">
        <f>(50*24*31)+(121.8*((((BJ68/24)/31)/16000)^2)*(24*31))</f>
        <v>37200</v>
      </c>
      <c r="AU68" s="12"/>
      <c r="AW68" s="12">
        <v>0</v>
      </c>
      <c r="AX68" s="12">
        <v>0</v>
      </c>
      <c r="AY68" s="12">
        <f>(3.6*24*31)+(17.9*((((BG68/24)/31)/1000)^2)*(24*31))</f>
        <v>2678.4240591397852</v>
      </c>
      <c r="AZ68" s="12">
        <f>2*((4.3*24*31)+(21*(((((BH68/2)/31)/24)/1250)^2)*(24*31)))</f>
        <v>6398.4</v>
      </c>
      <c r="BA68" s="12">
        <f>(3.6*24*31)+(17.9*((((BI68/31)/24)/1000)^2)*(24*31))</f>
        <v>2678.4</v>
      </c>
      <c r="BB68" s="12">
        <v>0</v>
      </c>
      <c r="BC68">
        <v>150</v>
      </c>
      <c r="BD68" s="12">
        <v>500</v>
      </c>
      <c r="BE68" s="12">
        <v>1300</v>
      </c>
      <c r="BF68" s="12">
        <v>7500</v>
      </c>
      <c r="BG68" s="12">
        <v>1000</v>
      </c>
      <c r="BH68" s="12">
        <v>0</v>
      </c>
    </row>
    <row r="69" spans="1:60">
      <c r="A69">
        <v>68</v>
      </c>
      <c r="B69">
        <v>852600</v>
      </c>
      <c r="C69">
        <v>773008</v>
      </c>
      <c r="D69">
        <v>6045</v>
      </c>
      <c r="E69">
        <v>80012.460447960068</v>
      </c>
      <c r="F69">
        <v>1350</v>
      </c>
      <c r="G69">
        <v>830</v>
      </c>
      <c r="H69">
        <v>9</v>
      </c>
      <c r="I69">
        <v>26178</v>
      </c>
      <c r="J69">
        <v>23758</v>
      </c>
      <c r="K69">
        <v>1534</v>
      </c>
      <c r="L69">
        <v>9</v>
      </c>
      <c r="M69" s="3">
        <v>0</v>
      </c>
      <c r="N69" s="3">
        <v>0</v>
      </c>
      <c r="O69" s="3"/>
      <c r="P69" s="3">
        <v>0</v>
      </c>
      <c r="Q69" s="3"/>
      <c r="S69" s="6">
        <v>177</v>
      </c>
      <c r="T69" s="6">
        <v>1357</v>
      </c>
      <c r="U69" s="6"/>
      <c r="V69" s="6"/>
      <c r="X69" s="9">
        <v>102</v>
      </c>
      <c r="Y69" s="9">
        <v>588</v>
      </c>
      <c r="Z69" s="9">
        <v>0</v>
      </c>
      <c r="AA69" s="9">
        <v>1117</v>
      </c>
      <c r="AB69" s="9">
        <v>868</v>
      </c>
      <c r="AC69" s="9">
        <v>1970</v>
      </c>
      <c r="AD69" s="12">
        <v>1400</v>
      </c>
      <c r="AF69" s="15">
        <f t="shared" si="0"/>
        <v>1840</v>
      </c>
      <c r="AG69" s="15">
        <v>200</v>
      </c>
      <c r="AH69" s="12">
        <v>400</v>
      </c>
      <c r="AI69" s="12">
        <v>50</v>
      </c>
      <c r="AJ69" s="12">
        <v>110</v>
      </c>
      <c r="AK69" s="9">
        <v>0</v>
      </c>
      <c r="AL69" s="15">
        <v>0</v>
      </c>
      <c r="AM69" s="15">
        <v>20</v>
      </c>
      <c r="AN69" s="15">
        <v>200</v>
      </c>
      <c r="AO69" s="15">
        <v>50</v>
      </c>
      <c r="AP69" s="15">
        <v>200</v>
      </c>
      <c r="AQ69" s="17">
        <v>11128</v>
      </c>
      <c r="AS69">
        <v>2060</v>
      </c>
      <c r="AT69" s="12">
        <f>(50*24*30)+(121.8*((((BJ69/24)/30)/16000)^2)*(24*30))</f>
        <v>36000</v>
      </c>
      <c r="AU69" s="12"/>
      <c r="AW69" s="12">
        <v>0</v>
      </c>
      <c r="AX69" s="12">
        <v>0</v>
      </c>
      <c r="AY69" s="12">
        <f>(3.6*24*30)+(17.9*((((BG69/24)/30)/1000)^2)*(24*30))</f>
        <v>2592.024861111111</v>
      </c>
      <c r="AZ69" s="12">
        <f>2*((4.3*24*30)+(21*(((((BH69/2)/30)/24)/1250)^2)*(24*30)))</f>
        <v>6191.9999999999991</v>
      </c>
      <c r="BA69" s="12">
        <f>(3.6*24*30)+(17.9*((((BI69/30)/24)/1000)^2)*(24*30))</f>
        <v>2592</v>
      </c>
      <c r="BB69" s="12">
        <v>0</v>
      </c>
      <c r="BC69">
        <v>150</v>
      </c>
      <c r="BD69" s="12">
        <v>500</v>
      </c>
      <c r="BE69" s="12">
        <v>1300</v>
      </c>
      <c r="BF69" s="12">
        <v>0</v>
      </c>
      <c r="BG69" s="12">
        <v>1000</v>
      </c>
      <c r="BH69" s="12">
        <v>0</v>
      </c>
    </row>
    <row r="70" spans="1:60">
      <c r="A70">
        <v>69</v>
      </c>
      <c r="B70">
        <v>819860</v>
      </c>
      <c r="C70">
        <v>743690</v>
      </c>
      <c r="D70">
        <v>5764</v>
      </c>
      <c r="E70">
        <v>74597.169761357945</v>
      </c>
      <c r="F70">
        <v>1307</v>
      </c>
      <c r="G70">
        <v>897</v>
      </c>
      <c r="H70">
        <v>16</v>
      </c>
      <c r="I70">
        <v>5016</v>
      </c>
      <c r="J70">
        <v>7328</v>
      </c>
      <c r="K70">
        <v>338.5</v>
      </c>
      <c r="L70">
        <v>16</v>
      </c>
      <c r="M70" s="2">
        <v>0</v>
      </c>
      <c r="N70" s="2">
        <v>0</v>
      </c>
      <c r="O70" s="2"/>
      <c r="P70" s="2">
        <v>0</v>
      </c>
      <c r="Q70" s="2"/>
      <c r="S70" s="5">
        <v>0</v>
      </c>
      <c r="T70" s="5">
        <v>338.5</v>
      </c>
      <c r="U70" s="5"/>
      <c r="V70" s="5"/>
      <c r="X70" s="9">
        <v>345</v>
      </c>
      <c r="Y70" s="9">
        <v>565</v>
      </c>
      <c r="Z70" s="9">
        <v>0</v>
      </c>
      <c r="AA70" s="9">
        <v>438</v>
      </c>
      <c r="AB70" s="9">
        <v>944</v>
      </c>
      <c r="AC70" s="9">
        <v>2072</v>
      </c>
      <c r="AD70" s="12">
        <v>1400</v>
      </c>
      <c r="AF70" s="15">
        <f t="shared" si="0"/>
        <v>1840</v>
      </c>
      <c r="AG70" s="15">
        <v>200</v>
      </c>
      <c r="AH70" s="12">
        <v>400</v>
      </c>
      <c r="AI70" s="12">
        <v>50</v>
      </c>
      <c r="AJ70" s="12">
        <v>110</v>
      </c>
      <c r="AK70" s="9">
        <v>0</v>
      </c>
      <c r="AL70" s="15">
        <v>0</v>
      </c>
      <c r="AM70" s="15">
        <v>20</v>
      </c>
      <c r="AN70" s="15">
        <v>200</v>
      </c>
      <c r="AO70" s="15">
        <v>50</v>
      </c>
      <c r="AP70" s="15">
        <v>200</v>
      </c>
      <c r="AQ70" s="17">
        <v>10237</v>
      </c>
      <c r="AS70">
        <v>1012</v>
      </c>
      <c r="AT70" s="12">
        <f>(50*24*31)+(121.8*((((BJ70/24)/31)/16000)^2)*(24*31))</f>
        <v>37200</v>
      </c>
      <c r="AU70" s="12"/>
      <c r="AW70" s="12">
        <v>0</v>
      </c>
      <c r="AX70" s="12">
        <v>0</v>
      </c>
      <c r="AY70" s="12">
        <f>(3.6*24*31)+(17.9*((((BG70/24)/31)/1000)^2)*(24*31))</f>
        <v>2678.4240591397852</v>
      </c>
      <c r="AZ70" s="12">
        <f>2*((4.3*24*31)+(21*(((((BH70/2)/31)/24)/1250)^2)*(24*31)))</f>
        <v>6398.4</v>
      </c>
      <c r="BA70" s="12">
        <f>(3.6*24*31)+(17.9*((((BI70/31)/24)/1000)^2)*(24*31))</f>
        <v>2678.4</v>
      </c>
      <c r="BB70" s="12">
        <v>0</v>
      </c>
      <c r="BC70">
        <v>150</v>
      </c>
      <c r="BD70" s="12">
        <v>500</v>
      </c>
      <c r="BE70" s="12">
        <v>1300</v>
      </c>
      <c r="BF70" s="12">
        <v>0</v>
      </c>
      <c r="BG70" s="12">
        <v>1000</v>
      </c>
      <c r="BH70" s="12">
        <v>0</v>
      </c>
    </row>
    <row r="71" spans="1:60">
      <c r="A71">
        <v>70</v>
      </c>
      <c r="B71">
        <v>801500</v>
      </c>
      <c r="C71">
        <v>729428</v>
      </c>
      <c r="D71">
        <v>4788</v>
      </c>
      <c r="E71">
        <v>68062.607709740012</v>
      </c>
      <c r="F71">
        <v>1168</v>
      </c>
      <c r="G71">
        <v>864</v>
      </c>
      <c r="H71">
        <v>7</v>
      </c>
      <c r="I71">
        <v>2337</v>
      </c>
      <c r="J71">
        <v>1957.34</v>
      </c>
      <c r="K71">
        <v>298</v>
      </c>
      <c r="L71">
        <v>7</v>
      </c>
      <c r="M71" s="3">
        <v>0</v>
      </c>
      <c r="N71" s="3">
        <v>0</v>
      </c>
      <c r="O71" s="3"/>
      <c r="P71" s="3">
        <v>0</v>
      </c>
      <c r="Q71" s="3"/>
      <c r="S71" s="6">
        <v>0</v>
      </c>
      <c r="T71" s="6">
        <v>298</v>
      </c>
      <c r="U71" s="6"/>
      <c r="V71" s="6"/>
      <c r="X71" s="9">
        <v>366</v>
      </c>
      <c r="Y71" s="9">
        <v>531</v>
      </c>
      <c r="Z71" s="9">
        <v>0</v>
      </c>
      <c r="AA71" s="9">
        <v>371</v>
      </c>
      <c r="AB71" s="9">
        <v>459</v>
      </c>
      <c r="AC71" s="9">
        <v>1661</v>
      </c>
      <c r="AD71" s="12">
        <v>1400</v>
      </c>
      <c r="AF71" s="15">
        <f t="shared" si="0"/>
        <v>1840</v>
      </c>
      <c r="AG71" s="15">
        <v>200</v>
      </c>
      <c r="AH71" s="12">
        <v>400</v>
      </c>
      <c r="AI71" s="12">
        <v>50</v>
      </c>
      <c r="AJ71" s="12">
        <v>110</v>
      </c>
      <c r="AK71" s="9">
        <v>0</v>
      </c>
      <c r="AL71" s="15">
        <v>0</v>
      </c>
      <c r="AM71" s="15">
        <v>20</v>
      </c>
      <c r="AN71" s="15">
        <v>200</v>
      </c>
      <c r="AO71" s="15">
        <v>50</v>
      </c>
      <c r="AP71" s="15">
        <v>200</v>
      </c>
      <c r="AQ71" s="17">
        <v>5476</v>
      </c>
      <c r="AS71">
        <v>1006</v>
      </c>
      <c r="AT71" s="12">
        <f>(50*24*30)+(121.8*((((BJ71/24)/30)/16000)^2)*(24*30))</f>
        <v>36000</v>
      </c>
      <c r="AU71" s="12"/>
      <c r="AW71" s="12">
        <v>0</v>
      </c>
      <c r="AX71" s="12">
        <v>0</v>
      </c>
      <c r="AY71" s="12">
        <f>(3.6*24*30)+(17.9*((((BG71/24)/30)/1000)^2)*(24*30))</f>
        <v>2592.024861111111</v>
      </c>
      <c r="AZ71" s="12">
        <f>2*((4.3*24*30)+(21*(((((BH71/2)/30)/24)/1250)^2)*(24*30)))</f>
        <v>6191.9999999999991</v>
      </c>
      <c r="BA71" s="12">
        <f>(3.6*24*30)+(17.9*((((BI71/30)/24)/1000)^2)*(24*30))</f>
        <v>2592</v>
      </c>
      <c r="BB71" s="12">
        <v>0</v>
      </c>
      <c r="BC71">
        <v>150</v>
      </c>
      <c r="BD71" s="12">
        <v>500</v>
      </c>
      <c r="BE71" s="12">
        <v>1300</v>
      </c>
      <c r="BF71" s="12">
        <v>0</v>
      </c>
      <c r="BG71" s="12">
        <v>1000</v>
      </c>
      <c r="BH71" s="12">
        <v>0</v>
      </c>
    </row>
    <row r="72" spans="1:60">
      <c r="A72">
        <v>71</v>
      </c>
      <c r="B72">
        <v>813990</v>
      </c>
      <c r="C72">
        <v>740709</v>
      </c>
      <c r="D72">
        <v>4908</v>
      </c>
      <c r="E72">
        <v>73983.795305717504</v>
      </c>
      <c r="F72">
        <v>1645</v>
      </c>
      <c r="G72">
        <v>1011</v>
      </c>
      <c r="H72">
        <v>26</v>
      </c>
      <c r="I72">
        <v>514</v>
      </c>
      <c r="J72">
        <v>8854</v>
      </c>
      <c r="K72">
        <v>1</v>
      </c>
      <c r="L72">
        <v>26</v>
      </c>
      <c r="M72" s="2">
        <v>0</v>
      </c>
      <c r="N72" s="2">
        <v>0</v>
      </c>
      <c r="O72" s="2"/>
      <c r="P72" s="2">
        <v>0</v>
      </c>
      <c r="Q72" s="2"/>
      <c r="S72" s="5">
        <v>0</v>
      </c>
      <c r="T72" s="5">
        <v>1</v>
      </c>
      <c r="U72" s="5"/>
      <c r="V72" s="5"/>
      <c r="X72" s="9">
        <v>375</v>
      </c>
      <c r="Y72" s="9">
        <v>656</v>
      </c>
      <c r="Z72" s="9">
        <v>0</v>
      </c>
      <c r="AA72" s="9">
        <v>475</v>
      </c>
      <c r="AB72" s="9">
        <v>193</v>
      </c>
      <c r="AC72" s="9">
        <v>1809</v>
      </c>
      <c r="AD72" s="12">
        <v>1400</v>
      </c>
      <c r="AF72" s="15">
        <f t="shared" si="0"/>
        <v>1840</v>
      </c>
      <c r="AG72" s="15">
        <v>200</v>
      </c>
      <c r="AH72" s="12">
        <v>400</v>
      </c>
      <c r="AI72" s="12">
        <v>50</v>
      </c>
      <c r="AJ72" s="12">
        <v>110</v>
      </c>
      <c r="AK72" s="9">
        <v>0</v>
      </c>
      <c r="AL72" s="15">
        <v>0</v>
      </c>
      <c r="AM72" s="15">
        <v>20</v>
      </c>
      <c r="AN72" s="15">
        <v>200</v>
      </c>
      <c r="AO72" s="15">
        <v>50</v>
      </c>
      <c r="AP72" s="15">
        <v>200</v>
      </c>
      <c r="AQ72" s="17">
        <v>9326</v>
      </c>
      <c r="AS72">
        <v>1006</v>
      </c>
      <c r="AT72" s="12">
        <f>(50*24*31)+(121.8*((((BJ72/24)/31)/16000)^2)*(24*31))</f>
        <v>37200</v>
      </c>
      <c r="AU72" s="12"/>
      <c r="AW72" s="12">
        <v>0</v>
      </c>
      <c r="AX72" s="12">
        <v>0</v>
      </c>
      <c r="AY72" s="12">
        <f>(3.6*24*31)+(17.9*((((BG72/24)/31)/1000)^2)*(24*31))</f>
        <v>2678.4240591397852</v>
      </c>
      <c r="AZ72" s="12">
        <f>2*((4.3*24*31)+(21*(((((BH72/2)/31)/24)/1250)^2)*(24*31)))</f>
        <v>6398.4</v>
      </c>
      <c r="BA72" s="12">
        <f>(3.6*24*31)+(17.9*((((BI72/31)/24)/1000)^2)*(24*31))</f>
        <v>2678.4</v>
      </c>
      <c r="BB72" s="12">
        <v>0</v>
      </c>
      <c r="BC72">
        <v>150</v>
      </c>
      <c r="BD72" s="12">
        <v>500</v>
      </c>
      <c r="BE72" s="12">
        <v>1300</v>
      </c>
      <c r="BF72" s="12">
        <v>0</v>
      </c>
      <c r="BG72" s="12">
        <v>1000</v>
      </c>
      <c r="BH72" s="12">
        <v>0</v>
      </c>
    </row>
    <row r="73" spans="1:60">
      <c r="A73">
        <v>72</v>
      </c>
      <c r="B73">
        <v>799030</v>
      </c>
      <c r="C73">
        <v>723998</v>
      </c>
      <c r="D73">
        <v>5297</v>
      </c>
      <c r="E73">
        <v>73236.825289197004</v>
      </c>
      <c r="F73">
        <v>2425</v>
      </c>
      <c r="G73">
        <v>1711</v>
      </c>
      <c r="H73">
        <v>222</v>
      </c>
      <c r="I73">
        <v>435</v>
      </c>
      <c r="J73">
        <v>317</v>
      </c>
      <c r="K73">
        <v>0</v>
      </c>
      <c r="L73">
        <v>221</v>
      </c>
      <c r="M73" s="3">
        <v>0</v>
      </c>
      <c r="N73" s="3">
        <v>0</v>
      </c>
      <c r="O73" s="3"/>
      <c r="P73" s="3">
        <v>1</v>
      </c>
      <c r="Q73" s="3"/>
      <c r="S73" s="6">
        <v>0</v>
      </c>
      <c r="T73" s="6">
        <v>0</v>
      </c>
      <c r="U73" s="6"/>
      <c r="V73" s="6"/>
      <c r="X73" s="9">
        <v>450</v>
      </c>
      <c r="Y73" s="9">
        <v>1021</v>
      </c>
      <c r="Z73" s="9">
        <v>0</v>
      </c>
      <c r="AA73" s="9">
        <v>457</v>
      </c>
      <c r="AB73" s="9">
        <v>223</v>
      </c>
      <c r="AC73" s="9">
        <v>1746</v>
      </c>
      <c r="AD73" s="12">
        <v>1400</v>
      </c>
      <c r="AF73" s="15">
        <f t="shared" si="0"/>
        <v>1840</v>
      </c>
      <c r="AG73" s="15">
        <v>200</v>
      </c>
      <c r="AH73" s="12">
        <v>400</v>
      </c>
      <c r="AI73" s="12">
        <v>50</v>
      </c>
      <c r="AJ73" s="12">
        <v>110</v>
      </c>
      <c r="AK73" s="9">
        <v>0</v>
      </c>
      <c r="AL73" s="15">
        <v>0</v>
      </c>
      <c r="AM73" s="15">
        <v>20</v>
      </c>
      <c r="AN73" s="15">
        <v>200</v>
      </c>
      <c r="AO73" s="15">
        <v>50</v>
      </c>
      <c r="AP73" s="15">
        <v>200</v>
      </c>
      <c r="AQ73" s="17">
        <v>8917</v>
      </c>
      <c r="AS73">
        <v>1000</v>
      </c>
      <c r="AT73" s="12">
        <f>(50*24*31)+(121.8*((((BJ73/24)/31)/16000)^2)*(24*31))</f>
        <v>37200</v>
      </c>
      <c r="AU73" s="12"/>
      <c r="AW73" s="12">
        <v>0</v>
      </c>
      <c r="AX73" s="12">
        <v>0</v>
      </c>
      <c r="AY73" s="12">
        <f>(3.6*24*31)+(17.9*((((BG73/24)/31)/1000)^2)*(24*31))</f>
        <v>2678.4240591397852</v>
      </c>
      <c r="AZ73" s="12">
        <f>2*((4.3*24*31)+(21*(((((BH73/2)/31)/24)/1250)^2)*(24*31)))</f>
        <v>6398.4</v>
      </c>
      <c r="BA73" s="12">
        <f>(3.6*24*31)+(17.9*((((BI73/31)/24)/1000)^2)*(24*31))</f>
        <v>2678.4</v>
      </c>
      <c r="BB73" s="12">
        <v>0</v>
      </c>
      <c r="BC73">
        <v>150</v>
      </c>
      <c r="BD73" s="12">
        <v>500</v>
      </c>
      <c r="BE73" s="12">
        <v>1300</v>
      </c>
      <c r="BF73" s="12">
        <v>0</v>
      </c>
      <c r="BG73" s="12">
        <v>1000</v>
      </c>
      <c r="BH73" s="12">
        <v>0</v>
      </c>
    </row>
    <row r="74" spans="1:60">
      <c r="A74">
        <v>73</v>
      </c>
      <c r="B74">
        <v>788080</v>
      </c>
      <c r="C74">
        <v>713709</v>
      </c>
      <c r="D74">
        <v>6211</v>
      </c>
      <c r="E74">
        <v>72886.628725062503</v>
      </c>
      <c r="F74">
        <v>2091</v>
      </c>
      <c r="G74">
        <v>1696</v>
      </c>
      <c r="H74">
        <v>9</v>
      </c>
      <c r="I74">
        <v>6298</v>
      </c>
      <c r="J74">
        <v>5560</v>
      </c>
      <c r="K74">
        <v>948.8</v>
      </c>
      <c r="L74">
        <v>6</v>
      </c>
      <c r="M74" s="2">
        <v>0</v>
      </c>
      <c r="N74" s="2">
        <v>0</v>
      </c>
      <c r="O74" s="2"/>
      <c r="P74" s="2">
        <v>3</v>
      </c>
      <c r="Q74" s="2"/>
      <c r="S74" s="5">
        <v>0</v>
      </c>
      <c r="T74" s="5">
        <v>948.8</v>
      </c>
      <c r="U74" s="5"/>
      <c r="V74" s="5"/>
      <c r="X74" s="9">
        <v>402</v>
      </c>
      <c r="Y74" s="9">
        <v>891</v>
      </c>
      <c r="Z74" s="9">
        <v>0</v>
      </c>
      <c r="AA74" s="9">
        <v>1070</v>
      </c>
      <c r="AB74" s="9">
        <v>110</v>
      </c>
      <c r="AC74" s="9">
        <v>2338</v>
      </c>
      <c r="AD74" s="12">
        <v>1400</v>
      </c>
      <c r="AF74" s="15">
        <f t="shared" si="0"/>
        <v>1840</v>
      </c>
      <c r="AG74" s="15">
        <v>200</v>
      </c>
      <c r="AH74" s="12">
        <v>400</v>
      </c>
      <c r="AI74" s="12">
        <v>50</v>
      </c>
      <c r="AJ74" s="12">
        <v>110</v>
      </c>
      <c r="AK74" s="9">
        <v>0</v>
      </c>
      <c r="AL74" s="15">
        <v>0</v>
      </c>
      <c r="AM74" s="15">
        <v>20</v>
      </c>
      <c r="AN74" s="15">
        <v>200</v>
      </c>
      <c r="AO74" s="15">
        <v>50</v>
      </c>
      <c r="AP74" s="15">
        <v>200</v>
      </c>
      <c r="AQ74" s="17">
        <v>9998</v>
      </c>
      <c r="AS74">
        <v>1000</v>
      </c>
      <c r="AT74" s="12">
        <f>(50*24*30)+(121.8*((((BJ74/24)/30)/16000)^2)*(24*30))</f>
        <v>36000</v>
      </c>
      <c r="AU74" s="12"/>
      <c r="AW74" s="12">
        <v>0</v>
      </c>
      <c r="AX74" s="12">
        <v>0</v>
      </c>
      <c r="AY74" s="12">
        <f>(3.6*24*30)+(17.9*((((BG74/24)/30)/1000)^2)*(24*30))</f>
        <v>2592.024861111111</v>
      </c>
      <c r="AZ74" s="12">
        <f>2*((4.3*24*30)+(21*(((((BH74/2)/30)/24)/1250)^2)*(24*30)))</f>
        <v>6191.9999999999991</v>
      </c>
      <c r="BA74" s="12">
        <f>(3.6*24*30)+(17.9*((((BI74/30)/24)/1000)^2)*(24*30))</f>
        <v>2592</v>
      </c>
      <c r="BB74" s="12">
        <v>0</v>
      </c>
      <c r="BC74">
        <v>150</v>
      </c>
      <c r="BD74" s="12">
        <v>500</v>
      </c>
      <c r="BE74" s="12">
        <v>1300</v>
      </c>
      <c r="BF74" s="12">
        <v>0</v>
      </c>
      <c r="BG74" s="12">
        <v>1000</v>
      </c>
      <c r="BH74" s="12">
        <v>0</v>
      </c>
    </row>
    <row r="75" spans="1:60">
      <c r="A75">
        <v>74</v>
      </c>
      <c r="B75">
        <v>913210</v>
      </c>
      <c r="C75">
        <v>828642</v>
      </c>
      <c r="D75">
        <v>6969</v>
      </c>
      <c r="E75">
        <v>77428.59685750262</v>
      </c>
      <c r="F75">
        <v>1472</v>
      </c>
      <c r="G75">
        <v>997</v>
      </c>
      <c r="H75">
        <v>6</v>
      </c>
      <c r="I75">
        <v>23586</v>
      </c>
      <c r="J75">
        <v>21038</v>
      </c>
      <c r="K75">
        <v>2230</v>
      </c>
      <c r="L75">
        <v>3</v>
      </c>
      <c r="M75" s="3">
        <v>0</v>
      </c>
      <c r="N75" s="3">
        <v>0</v>
      </c>
      <c r="O75" s="3"/>
      <c r="P75" s="3">
        <v>3</v>
      </c>
      <c r="Q75" s="3"/>
      <c r="S75" s="6">
        <v>0</v>
      </c>
      <c r="T75" s="6">
        <v>2230</v>
      </c>
      <c r="U75" s="6"/>
      <c r="V75" s="6"/>
      <c r="X75" s="9">
        <v>420</v>
      </c>
      <c r="Y75" s="9">
        <v>621</v>
      </c>
      <c r="Z75" s="9">
        <v>0</v>
      </c>
      <c r="AA75" s="9">
        <v>1676</v>
      </c>
      <c r="AB75" s="9">
        <v>103</v>
      </c>
      <c r="AC75" s="9">
        <v>2649</v>
      </c>
      <c r="AD75" s="12">
        <v>1500</v>
      </c>
      <c r="AF75" s="15">
        <f t="shared" si="0"/>
        <v>1840</v>
      </c>
      <c r="AG75" s="15">
        <v>200</v>
      </c>
      <c r="AH75" s="12">
        <v>400</v>
      </c>
      <c r="AI75" s="12">
        <v>50</v>
      </c>
      <c r="AJ75" s="12">
        <v>110</v>
      </c>
      <c r="AK75" s="9">
        <v>0</v>
      </c>
      <c r="AL75" s="15">
        <v>0</v>
      </c>
      <c r="AM75" s="15">
        <v>20</v>
      </c>
      <c r="AN75" s="15">
        <v>200</v>
      </c>
      <c r="AO75" s="15">
        <v>50</v>
      </c>
      <c r="AP75" s="15">
        <v>200</v>
      </c>
      <c r="AQ75" s="17">
        <v>11291</v>
      </c>
      <c r="AS75">
        <v>1000</v>
      </c>
      <c r="AT75" s="12">
        <f>(50*24*31)+(121.8*((((BJ75/24)/31)/16000)^2)*(24*31))</f>
        <v>37200</v>
      </c>
      <c r="AU75" s="12"/>
      <c r="AW75" s="12">
        <v>0</v>
      </c>
      <c r="AX75" s="12">
        <v>0</v>
      </c>
      <c r="AY75" s="12">
        <f t="shared" ref="AY75:AY80" si="18">(3.6*24*31)+(17.9*((((BG75/24)/31)/1000)^2)*(24*31))</f>
        <v>2678.4240591397852</v>
      </c>
      <c r="AZ75" s="12">
        <f t="shared" ref="AZ75:AZ80" si="19">2*((4.3*24*31)+(21*(((((BH75/2)/31)/24)/1250)^2)*(24*31)))</f>
        <v>6398.4</v>
      </c>
      <c r="BA75" s="12">
        <f t="shared" ref="BA75:BA80" si="20">(3.6*24*31)+(17.9*((((BI75/31)/24)/1000)^2)*(24*31))</f>
        <v>2678.4</v>
      </c>
      <c r="BB75" s="12">
        <v>0</v>
      </c>
      <c r="BC75">
        <v>150</v>
      </c>
      <c r="BD75" s="12">
        <v>500</v>
      </c>
      <c r="BE75" s="12">
        <v>1300</v>
      </c>
      <c r="BF75" s="12">
        <v>1000</v>
      </c>
      <c r="BG75" s="12">
        <v>1000</v>
      </c>
      <c r="BH75" s="12">
        <v>0</v>
      </c>
    </row>
    <row r="76" spans="1:60">
      <c r="A76">
        <v>75</v>
      </c>
      <c r="B76">
        <v>1009000</v>
      </c>
      <c r="C76">
        <v>914710</v>
      </c>
      <c r="D76">
        <v>7277</v>
      </c>
      <c r="E76">
        <v>81910.993918026623</v>
      </c>
      <c r="F76">
        <v>1335</v>
      </c>
      <c r="G76">
        <v>854.4</v>
      </c>
      <c r="H76">
        <v>4</v>
      </c>
      <c r="I76">
        <v>59178</v>
      </c>
      <c r="J76">
        <v>54441</v>
      </c>
      <c r="K76">
        <v>3634</v>
      </c>
      <c r="L76">
        <v>2</v>
      </c>
      <c r="M76" s="2">
        <v>0</v>
      </c>
      <c r="N76" s="2">
        <v>0</v>
      </c>
      <c r="O76" s="2"/>
      <c r="P76" s="2">
        <v>2</v>
      </c>
      <c r="Q76" s="2"/>
      <c r="S76" s="5">
        <v>189</v>
      </c>
      <c r="T76" s="5">
        <v>3335</v>
      </c>
      <c r="U76" s="5"/>
      <c r="V76" s="5">
        <v>110</v>
      </c>
      <c r="X76" s="9">
        <v>396</v>
      </c>
      <c r="Y76" s="9">
        <v>566</v>
      </c>
      <c r="Z76" s="9">
        <v>0</v>
      </c>
      <c r="AA76" s="9">
        <v>1688</v>
      </c>
      <c r="AB76" s="9">
        <v>50</v>
      </c>
      <c r="AC76" s="9">
        <v>2877</v>
      </c>
      <c r="AD76" s="12">
        <v>1700</v>
      </c>
      <c r="AF76" s="15">
        <f t="shared" si="0"/>
        <v>1840</v>
      </c>
      <c r="AG76" s="15">
        <v>200</v>
      </c>
      <c r="AH76" s="12">
        <v>400</v>
      </c>
      <c r="AI76" s="12">
        <v>50</v>
      </c>
      <c r="AJ76" s="12">
        <v>110</v>
      </c>
      <c r="AK76" s="9">
        <v>0</v>
      </c>
      <c r="AL76" s="15">
        <v>0</v>
      </c>
      <c r="AM76" s="15">
        <v>20</v>
      </c>
      <c r="AN76" s="15">
        <v>200</v>
      </c>
      <c r="AO76" s="15">
        <v>50</v>
      </c>
      <c r="AP76" s="15">
        <v>1000</v>
      </c>
      <c r="AQ76" s="17">
        <v>9766</v>
      </c>
      <c r="AS76">
        <v>2054</v>
      </c>
      <c r="AT76" s="12">
        <f>(50*24*30)+(121.8*((((BJ76/24)/30)/16000)^2)*(24*30))</f>
        <v>36000</v>
      </c>
      <c r="AU76" s="12"/>
      <c r="AW76" s="12">
        <v>0</v>
      </c>
      <c r="AX76" s="12">
        <v>0</v>
      </c>
      <c r="AY76" s="12">
        <f t="shared" si="18"/>
        <v>2678.4240591397852</v>
      </c>
      <c r="AZ76" s="12">
        <f t="shared" si="19"/>
        <v>6398.4</v>
      </c>
      <c r="BA76" s="12">
        <f t="shared" si="20"/>
        <v>2678.4</v>
      </c>
      <c r="BB76" s="12">
        <v>0</v>
      </c>
      <c r="BC76">
        <v>150</v>
      </c>
      <c r="BD76" s="12">
        <v>500</v>
      </c>
      <c r="BE76" s="12">
        <v>1300</v>
      </c>
      <c r="BF76" s="12">
        <v>5000</v>
      </c>
      <c r="BG76" s="12">
        <v>1000</v>
      </c>
      <c r="BH76" s="12">
        <v>0</v>
      </c>
    </row>
    <row r="77" spans="1:60">
      <c r="A77">
        <v>76</v>
      </c>
      <c r="B77">
        <v>912600</v>
      </c>
      <c r="C77">
        <v>827526</v>
      </c>
      <c r="D77">
        <v>8845</v>
      </c>
      <c r="E77">
        <v>80774.835304141452</v>
      </c>
      <c r="F77">
        <v>1385</v>
      </c>
      <c r="G77">
        <v>703</v>
      </c>
      <c r="H77">
        <v>9</v>
      </c>
      <c r="I77">
        <v>78436</v>
      </c>
      <c r="J77">
        <v>69592.7</v>
      </c>
      <c r="K77">
        <v>5501</v>
      </c>
      <c r="L77">
        <v>8</v>
      </c>
      <c r="M77" s="3">
        <v>0</v>
      </c>
      <c r="N77" s="3">
        <v>0</v>
      </c>
      <c r="O77" s="3"/>
      <c r="P77" s="3">
        <v>1</v>
      </c>
      <c r="Q77" s="3"/>
      <c r="S77" s="6">
        <v>648</v>
      </c>
      <c r="T77" s="6">
        <v>4494</v>
      </c>
      <c r="U77" s="6"/>
      <c r="V77" s="6">
        <v>359</v>
      </c>
      <c r="X77" s="9">
        <v>276</v>
      </c>
      <c r="Y77" s="9">
        <v>589</v>
      </c>
      <c r="Z77" s="9">
        <v>0</v>
      </c>
      <c r="AA77" s="9">
        <v>2885</v>
      </c>
      <c r="AB77" s="9">
        <v>386</v>
      </c>
      <c r="AC77" s="9">
        <v>3009</v>
      </c>
      <c r="AD77" s="12">
        <v>1700</v>
      </c>
      <c r="AF77" s="15">
        <f t="shared" si="0"/>
        <v>1840</v>
      </c>
      <c r="AG77" s="15">
        <v>200</v>
      </c>
      <c r="AH77" s="12">
        <v>400</v>
      </c>
      <c r="AI77" s="12">
        <v>50</v>
      </c>
      <c r="AJ77" s="12">
        <v>110</v>
      </c>
      <c r="AK77" s="9">
        <v>0</v>
      </c>
      <c r="AL77" s="15">
        <v>0</v>
      </c>
      <c r="AM77" s="15">
        <v>20</v>
      </c>
      <c r="AN77" s="15">
        <v>200</v>
      </c>
      <c r="AO77" s="15">
        <v>50</v>
      </c>
      <c r="AP77" s="15">
        <v>1000</v>
      </c>
      <c r="AQ77" s="17">
        <v>8145</v>
      </c>
      <c r="AS77">
        <v>2054</v>
      </c>
      <c r="AT77" s="12">
        <f>(50*24*31)+(121.8*((((BJ77/24)/31)/16000)^2)*(24*31))</f>
        <v>37200</v>
      </c>
      <c r="AU77" s="12"/>
      <c r="AW77" s="12">
        <v>0</v>
      </c>
      <c r="AX77" s="12">
        <v>0</v>
      </c>
      <c r="AY77" s="12">
        <f t="shared" si="18"/>
        <v>2678.4240591397852</v>
      </c>
      <c r="AZ77" s="12">
        <f t="shared" si="19"/>
        <v>6398.4</v>
      </c>
      <c r="BA77" s="12">
        <f t="shared" si="20"/>
        <v>2678.4</v>
      </c>
      <c r="BB77" s="12">
        <v>0</v>
      </c>
      <c r="BC77">
        <v>150</v>
      </c>
      <c r="BD77" s="12">
        <v>500</v>
      </c>
      <c r="BE77" s="12">
        <v>1300</v>
      </c>
      <c r="BF77" s="12">
        <v>5000</v>
      </c>
      <c r="BG77" s="12">
        <v>1000</v>
      </c>
      <c r="BH77" s="12">
        <v>0</v>
      </c>
    </row>
    <row r="78" spans="1:60">
      <c r="A78">
        <v>77</v>
      </c>
      <c r="B78">
        <v>1049820</v>
      </c>
      <c r="C78">
        <v>940462</v>
      </c>
      <c r="D78">
        <v>9662</v>
      </c>
      <c r="E78">
        <v>99441.327013747054</v>
      </c>
      <c r="F78">
        <v>2018</v>
      </c>
      <c r="G78">
        <v>898</v>
      </c>
      <c r="H78">
        <v>6</v>
      </c>
      <c r="I78">
        <v>78329</v>
      </c>
      <c r="J78">
        <v>71801</v>
      </c>
      <c r="K78">
        <v>3354</v>
      </c>
      <c r="L78">
        <v>5</v>
      </c>
      <c r="M78" s="2">
        <v>0</v>
      </c>
      <c r="N78" s="2">
        <v>0</v>
      </c>
      <c r="O78" s="2">
        <v>1</v>
      </c>
      <c r="P78" s="2"/>
      <c r="Q78" s="2"/>
      <c r="S78" s="5">
        <v>501</v>
      </c>
      <c r="T78" s="5">
        <v>2853</v>
      </c>
      <c r="U78" s="5"/>
      <c r="V78" s="5"/>
      <c r="X78" s="9">
        <v>549</v>
      </c>
      <c r="Y78" s="9">
        <v>871</v>
      </c>
      <c r="Z78" s="9">
        <v>0</v>
      </c>
      <c r="AA78" s="9">
        <v>2837</v>
      </c>
      <c r="AB78" s="9">
        <v>487</v>
      </c>
      <c r="AC78" s="9">
        <v>3218</v>
      </c>
      <c r="AD78" s="12">
        <v>1700</v>
      </c>
      <c r="AF78" s="15">
        <f t="shared" si="0"/>
        <v>1840</v>
      </c>
      <c r="AG78" s="15">
        <v>200</v>
      </c>
      <c r="AH78" s="12">
        <v>400</v>
      </c>
      <c r="AI78" s="12">
        <v>50</v>
      </c>
      <c r="AJ78" s="12">
        <v>110</v>
      </c>
      <c r="AK78" s="9">
        <v>0</v>
      </c>
      <c r="AL78" s="15">
        <v>0</v>
      </c>
      <c r="AM78" s="15">
        <v>20</v>
      </c>
      <c r="AN78" s="15">
        <v>200</v>
      </c>
      <c r="AO78" s="15">
        <v>50</v>
      </c>
      <c r="AP78" s="15">
        <v>2000</v>
      </c>
      <c r="AQ78" s="17">
        <v>9555</v>
      </c>
      <c r="AS78">
        <v>2174</v>
      </c>
      <c r="AT78" s="12">
        <f>(50*24*31)+(121.8*((((BJ78/24)/31)/16000)^2)*(24*31))</f>
        <v>37200</v>
      </c>
      <c r="AU78" s="12"/>
      <c r="AW78" s="12">
        <v>0</v>
      </c>
      <c r="AX78" s="12">
        <v>0</v>
      </c>
      <c r="AY78" s="12">
        <f t="shared" si="18"/>
        <v>2678.4240591397852</v>
      </c>
      <c r="AZ78" s="12">
        <f t="shared" si="19"/>
        <v>6398.4</v>
      </c>
      <c r="BA78" s="12">
        <f t="shared" si="20"/>
        <v>2678.4</v>
      </c>
      <c r="BB78" s="12">
        <v>0</v>
      </c>
      <c r="BC78">
        <v>150</v>
      </c>
      <c r="BD78" s="12">
        <v>500</v>
      </c>
      <c r="BE78" s="12">
        <v>1300</v>
      </c>
      <c r="BF78" s="12">
        <v>21000</v>
      </c>
      <c r="BG78" s="12">
        <v>1000</v>
      </c>
      <c r="BH78" s="12">
        <v>0</v>
      </c>
    </row>
    <row r="79" spans="1:60">
      <c r="A79">
        <v>78</v>
      </c>
      <c r="B79">
        <v>974110</v>
      </c>
      <c r="C79">
        <v>869779</v>
      </c>
      <c r="D79">
        <v>8835</v>
      </c>
      <c r="E79">
        <v>93500.761571623923</v>
      </c>
      <c r="F79">
        <v>1559</v>
      </c>
      <c r="G79">
        <v>880</v>
      </c>
      <c r="H79">
        <v>22</v>
      </c>
      <c r="I79">
        <v>65644</v>
      </c>
      <c r="J79">
        <v>61356</v>
      </c>
      <c r="K79">
        <v>2797</v>
      </c>
      <c r="L79">
        <v>1</v>
      </c>
      <c r="M79" s="3">
        <v>0</v>
      </c>
      <c r="N79" s="3">
        <v>0</v>
      </c>
      <c r="O79" s="3">
        <v>21</v>
      </c>
      <c r="P79" s="3"/>
      <c r="Q79" s="3"/>
      <c r="S79" s="6">
        <v>405</v>
      </c>
      <c r="T79" s="6">
        <v>2392</v>
      </c>
      <c r="U79" s="6"/>
      <c r="V79" s="6"/>
      <c r="X79" s="9">
        <v>231</v>
      </c>
      <c r="Y79" s="9">
        <v>673</v>
      </c>
      <c r="Z79" s="9">
        <v>0</v>
      </c>
      <c r="AA79" s="9">
        <v>2469</v>
      </c>
      <c r="AB79" s="9">
        <v>766</v>
      </c>
      <c r="AC79" s="9">
        <v>2996</v>
      </c>
      <c r="AD79" s="12">
        <v>1700</v>
      </c>
      <c r="AF79" s="15">
        <f t="shared" si="0"/>
        <v>1840</v>
      </c>
      <c r="AG79" s="15">
        <v>200</v>
      </c>
      <c r="AH79" s="12">
        <v>400</v>
      </c>
      <c r="AI79" s="12">
        <v>50</v>
      </c>
      <c r="AJ79" s="12">
        <v>110</v>
      </c>
      <c r="AK79" s="9">
        <v>0</v>
      </c>
      <c r="AL79" s="15">
        <v>0</v>
      </c>
      <c r="AM79" s="15">
        <v>20</v>
      </c>
      <c r="AN79" s="15">
        <v>200</v>
      </c>
      <c r="AO79" s="15">
        <v>50</v>
      </c>
      <c r="AP79" s="15">
        <v>2000</v>
      </c>
      <c r="AQ79" s="17">
        <v>4234</v>
      </c>
      <c r="AS79">
        <v>2174</v>
      </c>
      <c r="AT79" s="12">
        <f>(50*24*31)+(121.8*((((BJ79/24)/31)/16000)^2)*(24*31))</f>
        <v>37200</v>
      </c>
      <c r="AU79" s="12"/>
      <c r="AW79" s="12">
        <v>0</v>
      </c>
      <c r="AX79" s="12">
        <v>0</v>
      </c>
      <c r="AY79" s="12">
        <f t="shared" si="18"/>
        <v>2678.4240591397852</v>
      </c>
      <c r="AZ79" s="12">
        <f t="shared" si="19"/>
        <v>6398.4</v>
      </c>
      <c r="BA79" s="12">
        <f t="shared" si="20"/>
        <v>2678.4</v>
      </c>
      <c r="BB79" s="12">
        <v>0</v>
      </c>
      <c r="BC79">
        <v>150</v>
      </c>
      <c r="BD79" s="12">
        <v>500</v>
      </c>
      <c r="BE79" s="12">
        <v>1300</v>
      </c>
      <c r="BF79" s="12">
        <v>21000</v>
      </c>
      <c r="BG79" s="12">
        <v>1000</v>
      </c>
      <c r="BH79" s="12">
        <v>0</v>
      </c>
    </row>
    <row r="80" spans="1:60">
      <c r="A80">
        <v>79</v>
      </c>
      <c r="B80">
        <v>1038130</v>
      </c>
      <c r="C80">
        <v>934811</v>
      </c>
      <c r="D80">
        <v>7832</v>
      </c>
      <c r="E80">
        <v>95310.935974475069</v>
      </c>
      <c r="F80">
        <v>1300</v>
      </c>
      <c r="G80">
        <v>995</v>
      </c>
      <c r="H80">
        <v>37</v>
      </c>
      <c r="I80">
        <v>46161</v>
      </c>
      <c r="J80">
        <v>44064</v>
      </c>
      <c r="K80">
        <v>2287</v>
      </c>
      <c r="L80">
        <v>5</v>
      </c>
      <c r="M80" s="2">
        <v>0</v>
      </c>
      <c r="N80" s="2">
        <v>0</v>
      </c>
      <c r="O80" s="2">
        <v>32</v>
      </c>
      <c r="P80" s="2"/>
      <c r="Q80" s="2"/>
      <c r="S80" s="5">
        <v>243</v>
      </c>
      <c r="T80" s="5">
        <v>2044</v>
      </c>
      <c r="U80" s="5"/>
      <c r="V80" s="5"/>
      <c r="X80" s="9">
        <v>132</v>
      </c>
      <c r="Y80" s="9">
        <v>561</v>
      </c>
      <c r="Z80" s="9">
        <v>0</v>
      </c>
      <c r="AA80" s="9">
        <v>2197</v>
      </c>
      <c r="AB80" s="9">
        <v>158</v>
      </c>
      <c r="AC80" s="9">
        <v>3084</v>
      </c>
      <c r="AD80" s="12">
        <v>1700</v>
      </c>
      <c r="AF80" s="15">
        <f t="shared" si="0"/>
        <v>1840</v>
      </c>
      <c r="AG80" s="15">
        <v>200</v>
      </c>
      <c r="AH80" s="12">
        <v>400</v>
      </c>
      <c r="AI80" s="12">
        <v>50</v>
      </c>
      <c r="AJ80" s="12">
        <v>110</v>
      </c>
      <c r="AK80" s="9">
        <v>0</v>
      </c>
      <c r="AL80" s="15">
        <v>0</v>
      </c>
      <c r="AM80" s="15">
        <v>20</v>
      </c>
      <c r="AN80" s="15">
        <v>200</v>
      </c>
      <c r="AO80" s="15">
        <v>50</v>
      </c>
      <c r="AP80" s="15">
        <v>1000</v>
      </c>
      <c r="AQ80" s="15">
        <v>9000</v>
      </c>
      <c r="AS80">
        <v>2174</v>
      </c>
      <c r="AT80" s="12">
        <f>(50*24*31)+(121.8*((((BJ80/24)/31)/16000)^2)*(24*31))</f>
        <v>37200</v>
      </c>
      <c r="AU80" s="12"/>
      <c r="AW80" s="12">
        <v>0</v>
      </c>
      <c r="AX80" s="12">
        <v>0</v>
      </c>
      <c r="AY80" s="12">
        <f t="shared" si="18"/>
        <v>2678.4240591397852</v>
      </c>
      <c r="AZ80" s="12">
        <f t="shared" si="19"/>
        <v>6398.4</v>
      </c>
      <c r="BA80" s="12">
        <f t="shared" si="20"/>
        <v>2678.4</v>
      </c>
      <c r="BB80" s="12">
        <v>0</v>
      </c>
      <c r="BC80">
        <v>150</v>
      </c>
      <c r="BD80" s="12">
        <v>500</v>
      </c>
      <c r="BE80" s="12">
        <v>1300</v>
      </c>
      <c r="BF80" s="12">
        <v>17500</v>
      </c>
      <c r="BG80" s="12">
        <v>1000</v>
      </c>
      <c r="BH80" s="12">
        <v>0</v>
      </c>
    </row>
    <row r="81" spans="1:60">
      <c r="A81">
        <v>80</v>
      </c>
      <c r="B81">
        <v>932590</v>
      </c>
      <c r="C81">
        <v>843896</v>
      </c>
      <c r="D81">
        <v>7854</v>
      </c>
      <c r="E81">
        <v>80519.279754592979</v>
      </c>
      <c r="F81">
        <v>1431</v>
      </c>
      <c r="G81">
        <v>1135</v>
      </c>
      <c r="H81">
        <v>34</v>
      </c>
      <c r="I81">
        <v>12426</v>
      </c>
      <c r="J81">
        <v>11271</v>
      </c>
      <c r="K81">
        <v>872</v>
      </c>
      <c r="L81">
        <v>0</v>
      </c>
      <c r="M81" s="3">
        <v>0</v>
      </c>
      <c r="N81" s="3">
        <v>0</v>
      </c>
      <c r="O81" s="3">
        <v>34</v>
      </c>
      <c r="P81" s="3"/>
      <c r="Q81" s="3"/>
      <c r="S81" s="6">
        <v>74</v>
      </c>
      <c r="T81" s="6">
        <v>798</v>
      </c>
      <c r="U81" s="6"/>
      <c r="V81" s="6"/>
      <c r="X81" s="9">
        <v>189</v>
      </c>
      <c r="Y81" s="9">
        <v>616</v>
      </c>
      <c r="Z81" s="9">
        <v>0</v>
      </c>
      <c r="AA81" s="9">
        <v>1310</v>
      </c>
      <c r="AB81" s="9">
        <v>11</v>
      </c>
      <c r="AC81" s="9">
        <v>4228</v>
      </c>
      <c r="AD81" s="12">
        <v>1500</v>
      </c>
      <c r="AF81" s="15">
        <f t="shared" si="0"/>
        <v>1840</v>
      </c>
      <c r="AG81" s="15">
        <v>200</v>
      </c>
      <c r="AH81" s="12">
        <v>400</v>
      </c>
      <c r="AI81" s="12">
        <v>50</v>
      </c>
      <c r="AJ81" s="12">
        <v>110</v>
      </c>
      <c r="AK81" s="9">
        <v>0</v>
      </c>
      <c r="AL81" s="15">
        <v>0</v>
      </c>
      <c r="AM81" s="15">
        <v>20</v>
      </c>
      <c r="AN81" s="15">
        <v>200</v>
      </c>
      <c r="AO81" s="15">
        <v>50</v>
      </c>
      <c r="AP81" s="15">
        <v>1000</v>
      </c>
      <c r="AQ81" s="15">
        <v>7380</v>
      </c>
      <c r="AS81">
        <v>2174</v>
      </c>
      <c r="AT81" s="12">
        <f>(50*24*30)+(121.8*((((BJ81/24)/30)/16000)^2)*(24*30))</f>
        <v>36000</v>
      </c>
      <c r="AU81" s="12"/>
      <c r="AW81" s="12">
        <v>0</v>
      </c>
      <c r="AX81" s="12">
        <v>0</v>
      </c>
      <c r="AY81" s="12">
        <f>(3.6*24*30)+(17.9*((((BG81/24)/30)/1000)^2)*(24*30))</f>
        <v>2592.024861111111</v>
      </c>
      <c r="AZ81" s="12">
        <f>2*((4.3*24*30)+(21*(((((BH81/2)/30)/24)/1250)^2)*(24*30)))</f>
        <v>6191.9999999999991</v>
      </c>
      <c r="BA81" s="12">
        <f>(3.6*24*30)+(17.9*((((BI81/30)/24)/1000)^2)*(24*30))</f>
        <v>2592</v>
      </c>
      <c r="BB81" s="12">
        <v>0</v>
      </c>
      <c r="BC81">
        <v>150</v>
      </c>
      <c r="BD81" s="12">
        <v>500</v>
      </c>
      <c r="BE81" s="12">
        <v>1300</v>
      </c>
      <c r="BF81" s="12">
        <v>7000</v>
      </c>
      <c r="BG81" s="12">
        <v>1000</v>
      </c>
      <c r="BH81" s="12">
        <v>0</v>
      </c>
    </row>
    <row r="82" spans="1:60">
      <c r="A82">
        <v>81</v>
      </c>
      <c r="B82">
        <v>865910</v>
      </c>
      <c r="C82">
        <v>778900</v>
      </c>
      <c r="D82">
        <v>8128</v>
      </c>
      <c r="E82">
        <v>78646.038497577392</v>
      </c>
      <c r="F82">
        <v>1366</v>
      </c>
      <c r="G82">
        <v>1040</v>
      </c>
      <c r="H82">
        <v>330</v>
      </c>
      <c r="I82">
        <v>5405</v>
      </c>
      <c r="J82">
        <v>5919</v>
      </c>
      <c r="K82">
        <v>1</v>
      </c>
      <c r="L82">
        <v>5</v>
      </c>
      <c r="M82" s="2">
        <v>0</v>
      </c>
      <c r="N82" s="2">
        <v>0</v>
      </c>
      <c r="O82" s="2">
        <v>37</v>
      </c>
      <c r="P82" s="2"/>
      <c r="Q82" s="2">
        <v>288</v>
      </c>
      <c r="S82" s="5">
        <v>0</v>
      </c>
      <c r="T82" s="5">
        <v>1</v>
      </c>
      <c r="U82" s="5"/>
      <c r="V82" s="5"/>
      <c r="X82" s="9">
        <v>618</v>
      </c>
      <c r="Y82" s="9">
        <v>595</v>
      </c>
      <c r="Z82" s="9">
        <v>0</v>
      </c>
      <c r="AA82" s="9">
        <v>1102</v>
      </c>
      <c r="AB82" s="9">
        <v>9</v>
      </c>
      <c r="AC82" s="9">
        <v>4304</v>
      </c>
      <c r="AD82" s="12">
        <v>1500</v>
      </c>
      <c r="AF82" s="15">
        <f t="shared" si="0"/>
        <v>1840</v>
      </c>
      <c r="AG82" s="15">
        <v>200</v>
      </c>
      <c r="AH82" s="12">
        <v>400</v>
      </c>
      <c r="AI82" s="12">
        <v>50</v>
      </c>
      <c r="AJ82" s="12">
        <v>110</v>
      </c>
      <c r="AK82" s="9">
        <v>0</v>
      </c>
      <c r="AL82" s="15">
        <v>0</v>
      </c>
      <c r="AM82" s="15">
        <v>20</v>
      </c>
      <c r="AN82" s="15">
        <v>200</v>
      </c>
      <c r="AO82" s="15">
        <v>50</v>
      </c>
      <c r="AP82" s="15">
        <v>200</v>
      </c>
      <c r="AQ82" s="17">
        <v>12124</v>
      </c>
      <c r="AS82">
        <v>2000</v>
      </c>
      <c r="AT82" s="12">
        <f>(50*24*31)+(121.8*((((BJ82/24)/31)/16000)^2)*(24*31))</f>
        <v>37200</v>
      </c>
      <c r="AU82" s="12"/>
      <c r="AW82" s="12">
        <v>0</v>
      </c>
      <c r="AX82" s="12">
        <v>0</v>
      </c>
      <c r="AY82" s="12">
        <f>(3.6*24*31)+(17.9*((((BG82/24)/31)/1000)^2)*(24*31))</f>
        <v>2678.4240591397852</v>
      </c>
      <c r="AZ82" s="12">
        <f>2*((4.3*24*31)+(21*(((((BH82/2)/31)/24)/1250)^2)*(24*31)))</f>
        <v>6398.4</v>
      </c>
      <c r="BA82" s="12">
        <f>(3.6*24*31)+(17.9*((((BI82/31)/24)/1000)^2)*(24*31))</f>
        <v>2678.4</v>
      </c>
      <c r="BB82" s="12">
        <v>0</v>
      </c>
      <c r="BC82">
        <v>150</v>
      </c>
      <c r="BD82" s="12">
        <v>500</v>
      </c>
      <c r="BE82" s="12">
        <v>1300</v>
      </c>
      <c r="BF82" s="12">
        <v>0</v>
      </c>
      <c r="BG82" s="12">
        <v>1000</v>
      </c>
      <c r="BH82" s="12">
        <v>0</v>
      </c>
    </row>
    <row r="83" spans="1:60">
      <c r="A83">
        <v>82</v>
      </c>
      <c r="B83">
        <v>864330</v>
      </c>
      <c r="C83">
        <v>789099</v>
      </c>
      <c r="D83">
        <v>6853</v>
      </c>
      <c r="E83">
        <v>79257.58633515636</v>
      </c>
      <c r="F83">
        <v>2235</v>
      </c>
      <c r="G83">
        <v>1331</v>
      </c>
      <c r="H83">
        <v>601</v>
      </c>
      <c r="I83">
        <v>1783</v>
      </c>
      <c r="J83">
        <v>1844</v>
      </c>
      <c r="K83">
        <v>0</v>
      </c>
      <c r="L83">
        <v>14</v>
      </c>
      <c r="M83" s="3">
        <v>0</v>
      </c>
      <c r="N83" s="3">
        <v>0</v>
      </c>
      <c r="O83" s="3">
        <v>43</v>
      </c>
      <c r="P83" s="3"/>
      <c r="Q83" s="3">
        <v>544</v>
      </c>
      <c r="S83" s="6">
        <v>0</v>
      </c>
      <c r="T83" s="6">
        <v>0</v>
      </c>
      <c r="U83" s="6"/>
      <c r="V83" s="6"/>
      <c r="X83" s="9">
        <v>477</v>
      </c>
      <c r="Y83" s="9">
        <v>967</v>
      </c>
      <c r="Z83" s="9">
        <v>0</v>
      </c>
      <c r="AA83" s="9">
        <v>720</v>
      </c>
      <c r="AB83" s="9">
        <v>13</v>
      </c>
      <c r="AC83" s="9">
        <v>3756</v>
      </c>
      <c r="AD83" s="12">
        <v>920</v>
      </c>
      <c r="AF83" s="15">
        <f t="shared" si="0"/>
        <v>1840</v>
      </c>
      <c r="AG83" s="15">
        <v>200</v>
      </c>
      <c r="AH83" s="12">
        <v>400</v>
      </c>
      <c r="AI83" s="12">
        <v>50</v>
      </c>
      <c r="AJ83" s="12">
        <v>110</v>
      </c>
      <c r="AK83" s="9">
        <v>0</v>
      </c>
      <c r="AL83" s="15">
        <v>0</v>
      </c>
      <c r="AM83" s="15">
        <v>20</v>
      </c>
      <c r="AN83" s="15">
        <v>200</v>
      </c>
      <c r="AO83" s="15">
        <v>50</v>
      </c>
      <c r="AP83" s="15">
        <v>200</v>
      </c>
      <c r="AQ83" s="17">
        <v>14303</v>
      </c>
      <c r="AS83">
        <v>200</v>
      </c>
      <c r="AT83" s="12">
        <f>(50*24*30)+(121.8*((((BJ83/24)/30)/16000)^2)*(24*30))</f>
        <v>36000</v>
      </c>
      <c r="AU83" s="12"/>
      <c r="AW83" s="12">
        <v>0</v>
      </c>
      <c r="AX83" s="12">
        <v>0</v>
      </c>
      <c r="AY83" s="12">
        <f>(3.6*24*30)+(17.9*((((BG83/24)/30)/1000)^2)*(24*30))</f>
        <v>2592.024861111111</v>
      </c>
      <c r="AZ83" s="12">
        <f>2*((4.3*24*30)+(21*(((((BH83/2)/30)/24)/1250)^2)*(24*30)))</f>
        <v>6191.9999999999991</v>
      </c>
      <c r="BA83" s="12">
        <f>(3.6*24*30)+(17.9*((((BI83/30)/24)/1000)^2)*(24*30))</f>
        <v>2592</v>
      </c>
      <c r="BB83" s="12">
        <v>0</v>
      </c>
      <c r="BC83">
        <v>150</v>
      </c>
      <c r="BD83" s="12">
        <v>500</v>
      </c>
      <c r="BE83" s="12">
        <v>1300</v>
      </c>
      <c r="BF83" s="12">
        <v>0</v>
      </c>
      <c r="BG83" s="12">
        <v>1000</v>
      </c>
      <c r="BH83" s="12">
        <v>0</v>
      </c>
    </row>
    <row r="84" spans="1:60" ht="15.75" thickBot="1">
      <c r="A84">
        <v>83</v>
      </c>
      <c r="B84">
        <v>860062</v>
      </c>
      <c r="C84">
        <v>799481</v>
      </c>
      <c r="D84">
        <v>5674</v>
      </c>
      <c r="E84">
        <v>54406.821907339705</v>
      </c>
      <c r="F84">
        <v>1628</v>
      </c>
      <c r="G84">
        <v>1140</v>
      </c>
      <c r="H84">
        <v>307</v>
      </c>
      <c r="I84">
        <v>873</v>
      </c>
      <c r="J84">
        <v>806</v>
      </c>
      <c r="K84">
        <v>3</v>
      </c>
      <c r="L84">
        <v>1</v>
      </c>
      <c r="M84" s="2">
        <v>0</v>
      </c>
      <c r="N84" s="2">
        <v>0</v>
      </c>
      <c r="O84" s="2">
        <v>21</v>
      </c>
      <c r="P84" s="2"/>
      <c r="Q84" s="2">
        <v>285</v>
      </c>
      <c r="S84" s="5">
        <v>1</v>
      </c>
      <c r="T84" s="5">
        <v>2</v>
      </c>
      <c r="U84" s="5"/>
      <c r="V84" s="5"/>
      <c r="X84" s="9">
        <v>171</v>
      </c>
      <c r="Y84" s="9">
        <v>703</v>
      </c>
      <c r="Z84" s="9">
        <v>0</v>
      </c>
      <c r="AA84" s="9">
        <v>508</v>
      </c>
      <c r="AB84" s="9">
        <v>28</v>
      </c>
      <c r="AC84" s="9">
        <v>3344</v>
      </c>
      <c r="AD84" s="12">
        <v>920</v>
      </c>
      <c r="AF84" s="15">
        <f t="shared" si="0"/>
        <v>1840</v>
      </c>
      <c r="AG84" s="15">
        <v>200</v>
      </c>
      <c r="AH84" s="12">
        <v>400</v>
      </c>
      <c r="AI84" s="12">
        <v>50</v>
      </c>
      <c r="AJ84" s="12">
        <v>110</v>
      </c>
      <c r="AK84" s="9">
        <v>0</v>
      </c>
      <c r="AL84" s="15">
        <v>0</v>
      </c>
      <c r="AM84" s="15">
        <v>20</v>
      </c>
      <c r="AN84" s="15">
        <v>200</v>
      </c>
      <c r="AO84" s="15">
        <v>50</v>
      </c>
      <c r="AP84" s="15">
        <v>200</v>
      </c>
      <c r="AQ84" s="17">
        <v>14089</v>
      </c>
      <c r="AS84">
        <v>200</v>
      </c>
      <c r="AT84" s="12">
        <v>0</v>
      </c>
      <c r="AU84" s="12"/>
      <c r="AW84" s="12">
        <f>(16*24*31)+(58.2*((((BK84/31)/24)/6300)^2)*(24*31))</f>
        <v>11904</v>
      </c>
      <c r="AX84" s="12">
        <v>0</v>
      </c>
      <c r="AY84" s="12">
        <f>(3.6*24*30)+(17.9*((((BG84/24)/30)/1000)^2)*(24*30))</f>
        <v>2592.024861111111</v>
      </c>
      <c r="AZ84" s="12">
        <f>2*((4.3*24*30)+(21*(((((BH84/2)/30)/24)/1250)^2)*(24*30)))</f>
        <v>6192.1143333333321</v>
      </c>
      <c r="BA84" s="12">
        <f>(3.6*24*30)+(17.9*((((BI84/30)/24)/1000)^2)*(24*30))</f>
        <v>2592</v>
      </c>
      <c r="BB84" s="12">
        <v>0</v>
      </c>
      <c r="BC84">
        <v>150</v>
      </c>
      <c r="BD84" s="12">
        <v>500</v>
      </c>
      <c r="BE84" s="12">
        <v>1300</v>
      </c>
      <c r="BF84" s="12">
        <v>0</v>
      </c>
      <c r="BG84" s="12">
        <v>1000</v>
      </c>
      <c r="BH84" s="12">
        <v>3500</v>
      </c>
    </row>
    <row r="85" spans="1:60" ht="15.75" thickTop="1">
      <c r="A85">
        <v>84</v>
      </c>
      <c r="B85">
        <v>839235</v>
      </c>
      <c r="C85">
        <v>781742</v>
      </c>
      <c r="D85">
        <v>5844</v>
      </c>
      <c r="E85">
        <v>51648.955280801718</v>
      </c>
      <c r="F85">
        <v>1733</v>
      </c>
      <c r="G85">
        <v>1034</v>
      </c>
      <c r="H85">
        <v>447</v>
      </c>
      <c r="I85">
        <v>1199</v>
      </c>
      <c r="J85">
        <v>1030</v>
      </c>
      <c r="K85">
        <v>0</v>
      </c>
      <c r="L85">
        <v>7</v>
      </c>
      <c r="M85" s="3">
        <v>0</v>
      </c>
      <c r="N85" s="3">
        <v>0</v>
      </c>
      <c r="O85" s="3">
        <v>40</v>
      </c>
      <c r="P85" s="3"/>
      <c r="Q85" s="3">
        <v>400</v>
      </c>
      <c r="S85" s="6">
        <v>0</v>
      </c>
      <c r="T85" s="6">
        <v>0</v>
      </c>
      <c r="U85" s="6"/>
      <c r="V85" s="6"/>
      <c r="X85" s="9">
        <v>180</v>
      </c>
      <c r="Y85" s="9">
        <v>754</v>
      </c>
      <c r="Z85" s="9">
        <v>0</v>
      </c>
      <c r="AA85" s="9">
        <v>560</v>
      </c>
      <c r="AB85" s="9">
        <v>10</v>
      </c>
      <c r="AC85" s="9">
        <v>3420</v>
      </c>
      <c r="AD85" s="12">
        <v>920</v>
      </c>
      <c r="AF85" s="15">
        <f t="shared" si="0"/>
        <v>1840</v>
      </c>
      <c r="AG85" s="15">
        <v>200</v>
      </c>
      <c r="AH85" s="12">
        <v>400</v>
      </c>
      <c r="AI85" s="12">
        <v>50</v>
      </c>
      <c r="AJ85" s="12">
        <v>110</v>
      </c>
      <c r="AK85" s="9">
        <v>0</v>
      </c>
      <c r="AL85" s="15">
        <v>0</v>
      </c>
      <c r="AM85" s="15">
        <v>20</v>
      </c>
      <c r="AN85" s="15">
        <v>200</v>
      </c>
      <c r="AO85" s="15">
        <v>50</v>
      </c>
      <c r="AP85" s="15">
        <v>200</v>
      </c>
      <c r="AQ85" s="17">
        <v>11083</v>
      </c>
      <c r="AS85">
        <v>200</v>
      </c>
      <c r="AT85" s="19">
        <v>1850</v>
      </c>
      <c r="AU85" s="20"/>
      <c r="AW85" s="12">
        <f>(16*24*31)+(58.2*((((BK85/31)/24)/6300)^2)*(24*31))</f>
        <v>11904</v>
      </c>
      <c r="AX85" s="12">
        <v>0</v>
      </c>
      <c r="AY85" s="12">
        <f>(3.6*24*30)+(17.9*((((BG85/24)/30)/1000)^2)*(24*30))</f>
        <v>2592.024861111111</v>
      </c>
      <c r="AZ85" s="12">
        <f>2*((4.3*24*30)+(21*(((((BH85/2)/30)/24)/1250)^2)*(24*30)))</f>
        <v>6192.0373333333328</v>
      </c>
      <c r="BA85" s="12">
        <f>(3.6*24*30)+(17.9*((((BI85/30)/24)/1000)^2)*(24*30))</f>
        <v>2592</v>
      </c>
      <c r="BB85" s="12">
        <v>0</v>
      </c>
      <c r="BC85">
        <v>150</v>
      </c>
      <c r="BD85" s="12">
        <v>500</v>
      </c>
      <c r="BE85" s="12">
        <v>1300</v>
      </c>
      <c r="BF85" s="12">
        <v>0</v>
      </c>
      <c r="BG85" s="12">
        <v>1000</v>
      </c>
      <c r="BH85" s="12">
        <v>2000</v>
      </c>
    </row>
    <row r="86" spans="1:60">
      <c r="A86">
        <v>85</v>
      </c>
      <c r="B86">
        <v>810790</v>
      </c>
      <c r="C86">
        <v>762472</v>
      </c>
      <c r="D86">
        <v>7822</v>
      </c>
      <c r="E86">
        <v>40343.732551149085</v>
      </c>
      <c r="F86">
        <v>2145</v>
      </c>
      <c r="G86">
        <v>1114</v>
      </c>
      <c r="H86">
        <v>574</v>
      </c>
      <c r="I86">
        <v>4289</v>
      </c>
      <c r="J86">
        <v>4026</v>
      </c>
      <c r="K86">
        <v>141</v>
      </c>
      <c r="L86">
        <v>4</v>
      </c>
      <c r="M86" s="2">
        <v>0</v>
      </c>
      <c r="N86" s="2">
        <v>0</v>
      </c>
      <c r="O86" s="2">
        <v>29</v>
      </c>
      <c r="P86" s="2"/>
      <c r="Q86" s="2">
        <v>541</v>
      </c>
      <c r="S86" s="5">
        <v>0</v>
      </c>
      <c r="T86" s="5">
        <v>141</v>
      </c>
      <c r="U86" s="5"/>
      <c r="V86" s="5"/>
      <c r="X86" s="9">
        <v>294</v>
      </c>
      <c r="Y86" s="9">
        <v>947</v>
      </c>
      <c r="Z86" s="9">
        <v>0</v>
      </c>
      <c r="AA86" s="9">
        <v>863</v>
      </c>
      <c r="AB86" s="9">
        <v>18</v>
      </c>
      <c r="AC86" s="9">
        <v>4500</v>
      </c>
      <c r="AD86" s="12">
        <v>1200</v>
      </c>
      <c r="AF86" s="15">
        <f t="shared" si="0"/>
        <v>1840</v>
      </c>
      <c r="AG86" s="15">
        <v>200</v>
      </c>
      <c r="AH86" s="12">
        <v>400</v>
      </c>
      <c r="AI86" s="12">
        <v>50</v>
      </c>
      <c r="AJ86" s="12">
        <v>110</v>
      </c>
      <c r="AK86" s="9">
        <v>0</v>
      </c>
      <c r="AL86" s="15">
        <v>0</v>
      </c>
      <c r="AM86" s="15">
        <v>20</v>
      </c>
      <c r="AN86" s="15">
        <v>200</v>
      </c>
      <c r="AO86" s="15">
        <v>50</v>
      </c>
      <c r="AP86" s="15">
        <v>200</v>
      </c>
      <c r="AQ86" s="17">
        <v>4117</v>
      </c>
      <c r="AS86">
        <v>200</v>
      </c>
      <c r="AT86" s="12">
        <f>(16*24*30)+(89.5*((((BJ86/24)/30)/8000)^2)*(24*30))</f>
        <v>11520</v>
      </c>
      <c r="AU86" s="12"/>
      <c r="AW86" s="12">
        <v>0</v>
      </c>
      <c r="AX86" s="12">
        <v>0</v>
      </c>
      <c r="AY86" s="12">
        <f>(3.6*24*30)+(17.9*((((BG86/24)/30)/1000)^2)*(24*30))</f>
        <v>2592.024861111111</v>
      </c>
      <c r="AZ86" s="12">
        <f>2*((4.3*24*30)+(21*(((((BH86/2)/30)/24)/1250)^2)*(24*30)))</f>
        <v>6191.9999999999991</v>
      </c>
      <c r="BA86" s="12">
        <f>(3.6*24*30)+(17.9*((((BI86/30)/24)/1000)^2)*(24*30))</f>
        <v>2592</v>
      </c>
      <c r="BB86" s="12">
        <v>0</v>
      </c>
      <c r="BC86">
        <v>150</v>
      </c>
      <c r="BD86" s="12">
        <v>500</v>
      </c>
      <c r="BE86" s="12">
        <v>1300</v>
      </c>
      <c r="BF86" s="12">
        <v>0</v>
      </c>
      <c r="BG86" s="12">
        <v>1000</v>
      </c>
      <c r="BH86" s="12">
        <v>0</v>
      </c>
    </row>
    <row r="87" spans="1:60">
      <c r="A87">
        <v>86</v>
      </c>
      <c r="B87">
        <v>950010</v>
      </c>
      <c r="C87">
        <v>894372</v>
      </c>
      <c r="D87">
        <v>9524</v>
      </c>
      <c r="E87">
        <v>46032.579588981651</v>
      </c>
      <c r="F87">
        <v>1867</v>
      </c>
      <c r="G87">
        <v>1030</v>
      </c>
      <c r="H87">
        <v>403</v>
      </c>
      <c r="I87">
        <v>23357</v>
      </c>
      <c r="J87">
        <v>20970</v>
      </c>
      <c r="K87">
        <v>900</v>
      </c>
      <c r="L87">
        <v>9</v>
      </c>
      <c r="M87" s="3">
        <v>0</v>
      </c>
      <c r="N87" s="3">
        <v>0</v>
      </c>
      <c r="O87" s="3">
        <v>24</v>
      </c>
      <c r="P87" s="3"/>
      <c r="Q87" s="3">
        <v>370</v>
      </c>
      <c r="S87" s="6">
        <v>0</v>
      </c>
      <c r="T87" s="6">
        <v>876</v>
      </c>
      <c r="U87" s="6">
        <v>24</v>
      </c>
      <c r="V87" s="6"/>
      <c r="X87" s="9">
        <v>231</v>
      </c>
      <c r="Y87" s="9">
        <v>803</v>
      </c>
      <c r="Z87" s="9">
        <v>0</v>
      </c>
      <c r="AA87" s="9">
        <v>1421</v>
      </c>
      <c r="AB87" s="9">
        <v>21</v>
      </c>
      <c r="AC87" s="9">
        <v>5648</v>
      </c>
      <c r="AD87" s="12">
        <v>1400</v>
      </c>
      <c r="AF87" s="15">
        <f t="shared" si="0"/>
        <v>1840</v>
      </c>
      <c r="AG87" s="15">
        <v>200</v>
      </c>
      <c r="AH87" s="12">
        <v>400</v>
      </c>
      <c r="AI87" s="12">
        <v>50</v>
      </c>
      <c r="AJ87" s="12">
        <v>110</v>
      </c>
      <c r="AK87" s="9">
        <v>0</v>
      </c>
      <c r="AL87" s="15">
        <v>0</v>
      </c>
      <c r="AM87" s="15">
        <v>20</v>
      </c>
      <c r="AN87" s="15">
        <v>200</v>
      </c>
      <c r="AO87" s="15">
        <v>50</v>
      </c>
      <c r="AP87" s="15">
        <v>200</v>
      </c>
      <c r="AQ87" s="17">
        <v>8779</v>
      </c>
      <c r="AS87">
        <v>200</v>
      </c>
      <c r="AT87" s="12">
        <f t="shared" ref="AT87:AT92" si="21">(16*24*31)+(89.5*((((BJ87/24)/31)/8000)^2)*(24*31))</f>
        <v>11904</v>
      </c>
      <c r="AU87" s="12"/>
      <c r="AW87" s="12">
        <v>0</v>
      </c>
      <c r="AX87" s="12">
        <v>0</v>
      </c>
      <c r="AY87" s="12">
        <f t="shared" ref="AY87:AY100" si="22">(3.6*24*31)+(17.9*((((BG87/24)/31)/1000)^2)*(24*31))</f>
        <v>2678.4240591397852</v>
      </c>
      <c r="AZ87" s="12">
        <f t="shared" ref="AZ87:AZ107" si="23">2*((4.3*24*31)+(21*(((((BH87/2)/31)/24)/1250)^2)*(24*31)))</f>
        <v>6398.4</v>
      </c>
      <c r="BA87" s="12">
        <f t="shared" ref="BA87:BA101" si="24">(3.6*24*31)+(17.9*((((BI87/31)/24)/1000)^2)*(24*31))</f>
        <v>2678.4</v>
      </c>
      <c r="BB87" s="12">
        <v>0</v>
      </c>
      <c r="BC87">
        <v>150</v>
      </c>
      <c r="BD87" s="12">
        <v>500</v>
      </c>
      <c r="BE87" s="12">
        <v>1300</v>
      </c>
      <c r="BF87" s="12">
        <v>0</v>
      </c>
      <c r="BG87" s="12">
        <v>1000</v>
      </c>
      <c r="BH87" s="12">
        <v>0</v>
      </c>
    </row>
    <row r="88" spans="1:60">
      <c r="A88">
        <v>87</v>
      </c>
      <c r="B88">
        <v>907240</v>
      </c>
      <c r="C88">
        <v>842803</v>
      </c>
      <c r="D88">
        <v>10383</v>
      </c>
      <c r="E88">
        <v>54054.306841056576</v>
      </c>
      <c r="F88">
        <v>1493</v>
      </c>
      <c r="G88">
        <v>856</v>
      </c>
      <c r="H88">
        <v>98</v>
      </c>
      <c r="I88">
        <v>50995</v>
      </c>
      <c r="J88">
        <v>44992</v>
      </c>
      <c r="K88">
        <v>1866</v>
      </c>
      <c r="L88">
        <v>3</v>
      </c>
      <c r="M88" s="2">
        <v>0</v>
      </c>
      <c r="N88" s="2">
        <v>0</v>
      </c>
      <c r="O88" s="2">
        <v>18</v>
      </c>
      <c r="P88" s="2"/>
      <c r="Q88" s="2">
        <v>77</v>
      </c>
      <c r="S88" s="5">
        <v>0</v>
      </c>
      <c r="T88" s="5">
        <v>1756</v>
      </c>
      <c r="U88" s="5">
        <v>110</v>
      </c>
      <c r="V88" s="5"/>
      <c r="X88" s="9">
        <v>141</v>
      </c>
      <c r="Y88" s="9">
        <v>650</v>
      </c>
      <c r="Z88" s="9">
        <v>0</v>
      </c>
      <c r="AA88" s="9">
        <v>1716</v>
      </c>
      <c r="AB88" s="9">
        <v>12</v>
      </c>
      <c r="AC88" s="9">
        <v>6164</v>
      </c>
      <c r="AD88" s="12">
        <v>1700</v>
      </c>
      <c r="AF88" s="15">
        <f t="shared" si="0"/>
        <v>1840</v>
      </c>
      <c r="AG88" s="15">
        <v>200</v>
      </c>
      <c r="AH88" s="12">
        <v>400</v>
      </c>
      <c r="AI88" s="12">
        <v>50</v>
      </c>
      <c r="AJ88" s="12">
        <v>110</v>
      </c>
      <c r="AK88" s="9">
        <v>0</v>
      </c>
      <c r="AL88" s="15">
        <v>0</v>
      </c>
      <c r="AM88" s="15">
        <v>20</v>
      </c>
      <c r="AN88" s="15">
        <v>200</v>
      </c>
      <c r="AO88" s="15">
        <v>50</v>
      </c>
      <c r="AP88" s="15">
        <v>200</v>
      </c>
      <c r="AQ88" s="17">
        <v>11850</v>
      </c>
      <c r="AS88">
        <v>300</v>
      </c>
      <c r="AT88" s="12">
        <f t="shared" si="21"/>
        <v>11904</v>
      </c>
      <c r="AU88" s="12"/>
      <c r="AW88" s="12">
        <v>0</v>
      </c>
      <c r="AX88" s="12">
        <v>0</v>
      </c>
      <c r="AY88" s="12">
        <f t="shared" si="22"/>
        <v>2678.4240591397852</v>
      </c>
      <c r="AZ88" s="12">
        <f t="shared" si="23"/>
        <v>6398.4</v>
      </c>
      <c r="BA88" s="12">
        <f t="shared" si="24"/>
        <v>2678.4</v>
      </c>
      <c r="BB88" s="12">
        <v>0</v>
      </c>
      <c r="BC88">
        <v>150</v>
      </c>
      <c r="BD88" s="12">
        <v>500</v>
      </c>
      <c r="BE88" s="12">
        <v>1300</v>
      </c>
      <c r="BF88" s="12">
        <v>5000</v>
      </c>
      <c r="BG88" s="12">
        <v>1000</v>
      </c>
      <c r="BH88" s="12">
        <v>0</v>
      </c>
    </row>
    <row r="89" spans="1:60">
      <c r="A89">
        <v>88</v>
      </c>
      <c r="B89">
        <v>901930</v>
      </c>
      <c r="C89">
        <v>827049</v>
      </c>
      <c r="D89">
        <v>11380</v>
      </c>
      <c r="E89">
        <v>61872.113863374441</v>
      </c>
      <c r="F89">
        <v>1406</v>
      </c>
      <c r="G89">
        <v>902</v>
      </c>
      <c r="H89">
        <v>55</v>
      </c>
      <c r="I89">
        <v>73362</v>
      </c>
      <c r="J89">
        <v>69718</v>
      </c>
      <c r="K89">
        <v>3649</v>
      </c>
      <c r="L89">
        <v>3</v>
      </c>
      <c r="O89" s="3">
        <v>18</v>
      </c>
      <c r="P89" s="3"/>
      <c r="Q89" s="3">
        <v>34</v>
      </c>
      <c r="S89" s="6">
        <v>853</v>
      </c>
      <c r="T89" s="6">
        <v>2556</v>
      </c>
      <c r="U89" s="6">
        <v>240</v>
      </c>
      <c r="V89" s="7"/>
      <c r="X89" s="9">
        <v>324</v>
      </c>
      <c r="Y89" s="9">
        <v>618</v>
      </c>
      <c r="Z89" s="9">
        <v>0</v>
      </c>
      <c r="AA89" s="9">
        <v>2748</v>
      </c>
      <c r="AB89" s="9">
        <v>86</v>
      </c>
      <c r="AC89" s="9">
        <v>5904</v>
      </c>
      <c r="AD89" s="12">
        <v>1700</v>
      </c>
      <c r="AF89" s="15">
        <f t="shared" si="0"/>
        <v>1840</v>
      </c>
      <c r="AG89" s="15">
        <v>200</v>
      </c>
      <c r="AH89" s="12">
        <v>400</v>
      </c>
      <c r="AI89" s="12">
        <v>50</v>
      </c>
      <c r="AJ89" s="12">
        <v>110</v>
      </c>
      <c r="AK89" s="9">
        <v>0</v>
      </c>
      <c r="AL89" s="15">
        <v>0</v>
      </c>
      <c r="AM89" s="15">
        <v>20</v>
      </c>
      <c r="AN89" s="15">
        <v>200</v>
      </c>
      <c r="AO89" s="15">
        <v>50</v>
      </c>
      <c r="AP89" s="15">
        <v>200</v>
      </c>
      <c r="AQ89" s="17">
        <v>9727</v>
      </c>
      <c r="AS89">
        <v>300</v>
      </c>
      <c r="AT89" s="12">
        <f t="shared" si="21"/>
        <v>11904</v>
      </c>
      <c r="AU89" s="12"/>
      <c r="AW89" s="12">
        <v>0</v>
      </c>
      <c r="AX89" s="12">
        <v>0</v>
      </c>
      <c r="AY89" s="12">
        <f t="shared" si="22"/>
        <v>2678.4240591397852</v>
      </c>
      <c r="AZ89" s="12">
        <f t="shared" si="23"/>
        <v>6398.4</v>
      </c>
      <c r="BA89" s="12">
        <f t="shared" si="24"/>
        <v>2678.4</v>
      </c>
      <c r="BB89" s="12">
        <v>0</v>
      </c>
      <c r="BC89">
        <v>150</v>
      </c>
      <c r="BD89" s="12">
        <v>500</v>
      </c>
      <c r="BE89" s="12">
        <v>1300</v>
      </c>
      <c r="BF89" s="12">
        <v>15000</v>
      </c>
      <c r="BG89" s="12">
        <v>1000</v>
      </c>
      <c r="BH89" s="12">
        <v>0</v>
      </c>
    </row>
    <row r="90" spans="1:60">
      <c r="A90">
        <v>89</v>
      </c>
      <c r="B90">
        <v>1108452</v>
      </c>
      <c r="C90">
        <v>1006914</v>
      </c>
      <c r="D90">
        <v>9686</v>
      </c>
      <c r="E90">
        <v>65602.611801688676</v>
      </c>
      <c r="F90">
        <v>1363</v>
      </c>
      <c r="G90">
        <v>798</v>
      </c>
      <c r="H90">
        <v>24</v>
      </c>
      <c r="I90">
        <v>84410</v>
      </c>
      <c r="J90">
        <v>76083</v>
      </c>
      <c r="K90">
        <v>3955</v>
      </c>
      <c r="L90">
        <v>4</v>
      </c>
      <c r="O90" s="2">
        <v>20</v>
      </c>
      <c r="P90" s="2"/>
      <c r="Q90" s="2"/>
      <c r="S90" s="5">
        <v>973</v>
      </c>
      <c r="T90" s="5">
        <v>2729</v>
      </c>
      <c r="U90" s="5">
        <v>253</v>
      </c>
      <c r="V90" s="8"/>
      <c r="X90" s="9">
        <v>30</v>
      </c>
      <c r="Y90" s="9">
        <v>596</v>
      </c>
      <c r="Z90" s="9">
        <v>0</v>
      </c>
      <c r="AA90" s="9">
        <v>2686</v>
      </c>
      <c r="AB90" s="9">
        <v>642</v>
      </c>
      <c r="AC90" s="9">
        <v>4032</v>
      </c>
      <c r="AD90" s="12">
        <v>1700</v>
      </c>
      <c r="AF90" s="15">
        <f t="shared" si="0"/>
        <v>1840</v>
      </c>
      <c r="AG90" s="15">
        <v>200</v>
      </c>
      <c r="AH90" s="12">
        <v>400</v>
      </c>
      <c r="AI90" s="12">
        <v>50</v>
      </c>
      <c r="AJ90" s="12">
        <v>110</v>
      </c>
      <c r="AK90" s="9">
        <v>0</v>
      </c>
      <c r="AL90" s="15">
        <v>0</v>
      </c>
      <c r="AM90" s="15">
        <v>20</v>
      </c>
      <c r="AN90" s="15">
        <v>200</v>
      </c>
      <c r="AO90" s="15">
        <v>50</v>
      </c>
      <c r="AP90" s="15">
        <v>200</v>
      </c>
      <c r="AQ90" s="17">
        <v>12636</v>
      </c>
      <c r="AS90">
        <v>300</v>
      </c>
      <c r="AT90" s="12">
        <f t="shared" si="21"/>
        <v>11904</v>
      </c>
      <c r="AU90" s="12"/>
      <c r="AW90" s="12">
        <v>0</v>
      </c>
      <c r="AX90" s="12">
        <v>0</v>
      </c>
      <c r="AY90" s="12">
        <f t="shared" si="22"/>
        <v>2678.4240591397852</v>
      </c>
      <c r="AZ90" s="12">
        <f t="shared" si="23"/>
        <v>6398.4</v>
      </c>
      <c r="BA90" s="12">
        <f t="shared" si="24"/>
        <v>2678.4</v>
      </c>
      <c r="BB90" s="12">
        <v>0</v>
      </c>
      <c r="BC90">
        <v>150</v>
      </c>
      <c r="BD90" s="12">
        <v>500</v>
      </c>
      <c r="BE90" s="12">
        <v>1300</v>
      </c>
      <c r="BF90" s="12">
        <v>15000</v>
      </c>
      <c r="BG90" s="12">
        <v>1000</v>
      </c>
      <c r="BH90" s="12">
        <v>0</v>
      </c>
    </row>
    <row r="91" spans="1:60">
      <c r="A91">
        <v>90</v>
      </c>
      <c r="B91">
        <v>1564632.5</v>
      </c>
      <c r="C91">
        <v>1478932</v>
      </c>
      <c r="D91">
        <v>10383</v>
      </c>
      <c r="E91">
        <v>76989.437663242017</v>
      </c>
      <c r="F91">
        <v>1640</v>
      </c>
      <c r="G91">
        <v>1352</v>
      </c>
      <c r="H91">
        <v>48</v>
      </c>
      <c r="I91">
        <v>76625</v>
      </c>
      <c r="J91">
        <v>71176</v>
      </c>
      <c r="K91">
        <v>3796</v>
      </c>
      <c r="L91">
        <v>0</v>
      </c>
      <c r="O91" s="3">
        <v>48</v>
      </c>
      <c r="P91" s="3"/>
      <c r="Q91" s="3"/>
      <c r="S91" s="6">
        <v>934</v>
      </c>
      <c r="T91" s="6">
        <v>2540</v>
      </c>
      <c r="U91" s="6">
        <v>322</v>
      </c>
      <c r="V91" s="7"/>
      <c r="X91" s="9">
        <v>0</v>
      </c>
      <c r="Y91" s="9">
        <v>722</v>
      </c>
      <c r="Z91" s="9">
        <v>0</v>
      </c>
      <c r="AA91" s="9">
        <v>2728</v>
      </c>
      <c r="AB91" s="9">
        <v>85</v>
      </c>
      <c r="AC91" s="9">
        <v>5148</v>
      </c>
      <c r="AD91" s="12">
        <v>1700</v>
      </c>
      <c r="AF91" s="15">
        <f t="shared" si="0"/>
        <v>1840</v>
      </c>
      <c r="AG91" s="15">
        <v>200</v>
      </c>
      <c r="AH91" s="12">
        <v>400</v>
      </c>
      <c r="AI91" s="12">
        <v>50</v>
      </c>
      <c r="AJ91" s="12">
        <v>110</v>
      </c>
      <c r="AK91" s="9">
        <v>0</v>
      </c>
      <c r="AL91" s="15">
        <v>0</v>
      </c>
      <c r="AM91" s="15">
        <v>20</v>
      </c>
      <c r="AN91" s="15">
        <v>200</v>
      </c>
      <c r="AO91" s="15">
        <v>50</v>
      </c>
      <c r="AP91" s="15">
        <v>200</v>
      </c>
      <c r="AQ91" s="17">
        <v>15892</v>
      </c>
      <c r="AS91">
        <v>300</v>
      </c>
      <c r="AT91" s="12">
        <f t="shared" si="21"/>
        <v>11904</v>
      </c>
      <c r="AU91" s="12">
        <f>(16*24*31)+(89.5*((((BJ91/24)/31)/7000)^2)*(24*31))</f>
        <v>11904</v>
      </c>
      <c r="AW91" s="12">
        <v>0</v>
      </c>
      <c r="AX91" s="12">
        <v>0</v>
      </c>
      <c r="AY91" s="12">
        <f t="shared" si="22"/>
        <v>2678.4240591397852</v>
      </c>
      <c r="AZ91" s="12">
        <f t="shared" si="23"/>
        <v>6398.4</v>
      </c>
      <c r="BA91" s="12">
        <f t="shared" si="24"/>
        <v>2678.4</v>
      </c>
      <c r="BB91" s="12">
        <v>0</v>
      </c>
      <c r="BC91">
        <v>150</v>
      </c>
      <c r="BD91" s="12">
        <v>500</v>
      </c>
      <c r="BE91" s="12">
        <v>1300</v>
      </c>
      <c r="BF91" s="12">
        <v>8000</v>
      </c>
      <c r="BG91" s="12">
        <v>1000</v>
      </c>
      <c r="BH91" s="12">
        <v>0</v>
      </c>
    </row>
    <row r="92" spans="1:60">
      <c r="A92">
        <v>91</v>
      </c>
      <c r="B92">
        <v>1992120</v>
      </c>
      <c r="C92">
        <v>1903798</v>
      </c>
      <c r="D92">
        <v>10427</v>
      </c>
      <c r="E92">
        <v>76548.311569075566</v>
      </c>
      <c r="F92">
        <v>1506</v>
      </c>
      <c r="G92">
        <v>987</v>
      </c>
      <c r="H92">
        <v>27</v>
      </c>
      <c r="I92">
        <v>52122</v>
      </c>
      <c r="J92">
        <v>49535</v>
      </c>
      <c r="K92">
        <v>2909</v>
      </c>
      <c r="L92">
        <v>5</v>
      </c>
      <c r="O92" s="2">
        <v>22</v>
      </c>
      <c r="P92" s="2"/>
      <c r="Q92" s="2"/>
      <c r="S92" s="5">
        <v>587</v>
      </c>
      <c r="T92" s="5">
        <v>2116</v>
      </c>
      <c r="U92" s="5">
        <v>206</v>
      </c>
      <c r="V92" s="8"/>
      <c r="X92" s="9">
        <v>3</v>
      </c>
      <c r="Y92" s="9">
        <v>655</v>
      </c>
      <c r="Z92" s="9">
        <v>0</v>
      </c>
      <c r="AA92" s="9">
        <v>2495</v>
      </c>
      <c r="AB92" s="9">
        <v>42</v>
      </c>
      <c r="AC92" s="9">
        <v>5532</v>
      </c>
      <c r="AD92" s="12">
        <v>1700</v>
      </c>
      <c r="AF92" s="15">
        <f t="shared" si="0"/>
        <v>1840</v>
      </c>
      <c r="AG92" s="15">
        <v>200</v>
      </c>
      <c r="AH92" s="12">
        <v>400</v>
      </c>
      <c r="AI92" s="12">
        <v>50</v>
      </c>
      <c r="AJ92" s="12">
        <v>110</v>
      </c>
      <c r="AK92" s="9">
        <v>0</v>
      </c>
      <c r="AL92" s="15">
        <v>0</v>
      </c>
      <c r="AM92" s="15">
        <v>20</v>
      </c>
      <c r="AN92" s="15">
        <v>200</v>
      </c>
      <c r="AO92" s="15">
        <v>50</v>
      </c>
      <c r="AP92" s="15">
        <v>200</v>
      </c>
      <c r="AQ92" s="17">
        <v>17798</v>
      </c>
      <c r="AS92">
        <v>300</v>
      </c>
      <c r="AT92" s="12">
        <f t="shared" si="21"/>
        <v>11904</v>
      </c>
      <c r="AU92" s="12">
        <f>(16*24*31)+(89.5*((((BJ92/24)/31)/7000)^2)*(24*31))</f>
        <v>11904</v>
      </c>
      <c r="AW92" s="12">
        <v>0</v>
      </c>
      <c r="AX92" s="12">
        <v>0</v>
      </c>
      <c r="AY92" s="12">
        <f t="shared" si="22"/>
        <v>2678.4240591397852</v>
      </c>
      <c r="AZ92" s="12">
        <f t="shared" si="23"/>
        <v>6398.4</v>
      </c>
      <c r="BA92" s="12">
        <f t="shared" si="24"/>
        <v>2678.4</v>
      </c>
      <c r="BB92" s="12">
        <v>0</v>
      </c>
      <c r="BC92">
        <v>150</v>
      </c>
      <c r="BD92" s="12">
        <v>500</v>
      </c>
      <c r="BE92" s="12">
        <v>1300</v>
      </c>
      <c r="BF92" s="12">
        <v>2000</v>
      </c>
      <c r="BG92" s="12">
        <v>1000</v>
      </c>
      <c r="BH92" s="12">
        <v>0</v>
      </c>
    </row>
    <row r="93" spans="1:60">
      <c r="A93">
        <v>92</v>
      </c>
      <c r="B93">
        <v>2135810</v>
      </c>
      <c r="C93">
        <v>2059597</v>
      </c>
      <c r="D93">
        <v>9620</v>
      </c>
      <c r="E93">
        <v>77361.602607616311</v>
      </c>
      <c r="F93">
        <v>1567</v>
      </c>
      <c r="G93">
        <v>992</v>
      </c>
      <c r="H93">
        <v>44</v>
      </c>
      <c r="I93">
        <v>29380</v>
      </c>
      <c r="J93">
        <v>27292</v>
      </c>
      <c r="K93">
        <v>1473</v>
      </c>
      <c r="L93">
        <v>23</v>
      </c>
      <c r="O93" s="3">
        <v>21</v>
      </c>
      <c r="P93" s="3"/>
      <c r="Q93" s="3"/>
      <c r="S93" s="6">
        <v>308</v>
      </c>
      <c r="T93" s="6">
        <v>1051</v>
      </c>
      <c r="U93" s="6">
        <v>114</v>
      </c>
      <c r="V93" s="7"/>
      <c r="X93" s="9">
        <v>156</v>
      </c>
      <c r="Y93" s="9">
        <v>683</v>
      </c>
      <c r="Z93" s="9">
        <v>0</v>
      </c>
      <c r="AA93" s="9">
        <v>1641</v>
      </c>
      <c r="AB93" s="9">
        <v>0</v>
      </c>
      <c r="AC93" s="9">
        <v>5940</v>
      </c>
      <c r="AD93" s="12">
        <v>1200</v>
      </c>
      <c r="AF93" s="15">
        <f t="shared" si="0"/>
        <v>1840</v>
      </c>
      <c r="AG93" s="15">
        <v>200</v>
      </c>
      <c r="AH93" s="12">
        <v>400</v>
      </c>
      <c r="AI93" s="12">
        <v>50</v>
      </c>
      <c r="AJ93" s="12">
        <v>110</v>
      </c>
      <c r="AK93" s="9">
        <v>0</v>
      </c>
      <c r="AL93" s="15">
        <v>0</v>
      </c>
      <c r="AM93" s="15">
        <v>20</v>
      </c>
      <c r="AN93" s="15">
        <v>200</v>
      </c>
      <c r="AO93" s="15">
        <v>50</v>
      </c>
      <c r="AP93" s="15">
        <v>200</v>
      </c>
      <c r="AQ93" s="17">
        <v>18031</v>
      </c>
      <c r="AS93">
        <v>200</v>
      </c>
      <c r="AT93" s="12">
        <f>(16*24*30)+(89.5*((((BJ93/24)/30)/8000)^2)*(24*30))</f>
        <v>11520</v>
      </c>
      <c r="AU93" s="12">
        <f>(16*24*30)+(89.5*((((BJ93/24)/30)/7000)^2)*(24*30))</f>
        <v>11520</v>
      </c>
      <c r="AW93" s="12">
        <v>0</v>
      </c>
      <c r="AX93" s="12">
        <v>0</v>
      </c>
      <c r="AY93" s="12">
        <f t="shared" si="22"/>
        <v>2678.4240591397852</v>
      </c>
      <c r="AZ93" s="12">
        <f t="shared" si="23"/>
        <v>6398.4</v>
      </c>
      <c r="BA93" s="12">
        <f t="shared" si="24"/>
        <v>2678.4</v>
      </c>
      <c r="BB93" s="12">
        <v>0</v>
      </c>
      <c r="BC93">
        <v>150</v>
      </c>
      <c r="BD93" s="12">
        <v>500</v>
      </c>
      <c r="BE93" s="12">
        <v>1300</v>
      </c>
      <c r="BF93" s="12">
        <v>0</v>
      </c>
      <c r="BG93" s="12">
        <v>1000</v>
      </c>
      <c r="BH93" s="12">
        <v>0</v>
      </c>
    </row>
    <row r="94" spans="1:60">
      <c r="A94">
        <v>93</v>
      </c>
      <c r="B94">
        <v>2118712.5</v>
      </c>
      <c r="C94">
        <v>2039934</v>
      </c>
      <c r="D94">
        <v>7216</v>
      </c>
      <c r="E94">
        <v>64928.217252668903</v>
      </c>
      <c r="F94">
        <v>1735</v>
      </c>
      <c r="G94">
        <v>802</v>
      </c>
      <c r="H94">
        <v>59</v>
      </c>
      <c r="I94">
        <v>8604</v>
      </c>
      <c r="J94">
        <v>8640</v>
      </c>
      <c r="K94">
        <v>275</v>
      </c>
      <c r="L94">
        <v>40</v>
      </c>
      <c r="O94" s="2">
        <v>19</v>
      </c>
      <c r="P94" s="2"/>
      <c r="Q94" s="2"/>
      <c r="S94" s="5">
        <v>37</v>
      </c>
      <c r="T94" s="5">
        <v>214</v>
      </c>
      <c r="U94" s="5">
        <v>24</v>
      </c>
      <c r="V94" s="8"/>
      <c r="X94" s="9">
        <v>144</v>
      </c>
      <c r="Y94" s="9">
        <v>590</v>
      </c>
      <c r="Z94" s="9">
        <v>0</v>
      </c>
      <c r="AA94" s="9">
        <v>1006</v>
      </c>
      <c r="AB94" s="9">
        <v>20</v>
      </c>
      <c r="AC94" s="9">
        <v>4256</v>
      </c>
      <c r="AD94" s="12">
        <v>1200</v>
      </c>
      <c r="AF94" s="15">
        <f t="shared" si="0"/>
        <v>1840</v>
      </c>
      <c r="AG94" s="15">
        <v>200</v>
      </c>
      <c r="AH94" s="12">
        <v>400</v>
      </c>
      <c r="AI94" s="12">
        <v>50</v>
      </c>
      <c r="AJ94" s="12">
        <v>110</v>
      </c>
      <c r="AK94" s="9">
        <v>0</v>
      </c>
      <c r="AL94" s="15">
        <v>0</v>
      </c>
      <c r="AM94" s="15">
        <v>20</v>
      </c>
      <c r="AN94" s="15">
        <v>200</v>
      </c>
      <c r="AO94" s="15">
        <v>50</v>
      </c>
      <c r="AP94" s="15">
        <v>200</v>
      </c>
      <c r="AQ94" s="17">
        <v>5374</v>
      </c>
      <c r="AS94">
        <v>200</v>
      </c>
      <c r="AT94" s="12">
        <f t="shared" ref="AT94:AT104" si="25">(16*24*31)+(89.5*((((BJ94/24)/31)/8000)^2)*(24*31))</f>
        <v>11904</v>
      </c>
      <c r="AU94" s="12">
        <f t="shared" ref="AU94:AU104" si="26">(16*24*31)+(89.5*((((BJ94/24)/31)/7000)^2)*(24*31))</f>
        <v>11904</v>
      </c>
      <c r="AW94" s="12">
        <v>0</v>
      </c>
      <c r="AX94" s="12">
        <v>0</v>
      </c>
      <c r="AY94" s="12">
        <f t="shared" si="22"/>
        <v>2678.4240591397852</v>
      </c>
      <c r="AZ94" s="12">
        <f t="shared" si="23"/>
        <v>6398.4</v>
      </c>
      <c r="BA94" s="12">
        <f t="shared" si="24"/>
        <v>2678.4</v>
      </c>
      <c r="BB94" s="12">
        <v>0</v>
      </c>
      <c r="BC94">
        <v>150</v>
      </c>
      <c r="BD94" s="12">
        <v>500</v>
      </c>
      <c r="BE94" s="12">
        <v>1300</v>
      </c>
      <c r="BF94" s="12">
        <v>0</v>
      </c>
      <c r="BG94" s="12">
        <v>1000</v>
      </c>
      <c r="BH94" s="12">
        <v>0</v>
      </c>
    </row>
    <row r="95" spans="1:60">
      <c r="A95">
        <v>94</v>
      </c>
      <c r="B95">
        <v>2106590</v>
      </c>
      <c r="C95">
        <v>2034627</v>
      </c>
      <c r="D95">
        <v>7032</v>
      </c>
      <c r="E95">
        <v>71933.791394447122</v>
      </c>
      <c r="F95">
        <v>1081</v>
      </c>
      <c r="G95">
        <v>656</v>
      </c>
      <c r="H95">
        <v>34</v>
      </c>
      <c r="I95">
        <v>5669</v>
      </c>
      <c r="J95">
        <v>6151</v>
      </c>
      <c r="K95">
        <v>10</v>
      </c>
      <c r="L95">
        <v>13</v>
      </c>
      <c r="O95" s="3">
        <v>21</v>
      </c>
      <c r="P95" s="3"/>
      <c r="Q95" s="3"/>
      <c r="S95" s="6">
        <v>0</v>
      </c>
      <c r="T95" s="6">
        <v>10</v>
      </c>
      <c r="U95" s="6">
        <v>0</v>
      </c>
      <c r="V95" s="7"/>
      <c r="X95" s="9">
        <v>291</v>
      </c>
      <c r="Y95" s="9">
        <v>637</v>
      </c>
      <c r="Z95" s="9">
        <v>0</v>
      </c>
      <c r="AA95" s="9">
        <v>939</v>
      </c>
      <c r="AB95" s="9">
        <v>29</v>
      </c>
      <c r="AC95" s="9">
        <v>3936</v>
      </c>
      <c r="AD95" s="12">
        <v>1200</v>
      </c>
      <c r="AF95" s="15">
        <f t="shared" si="0"/>
        <v>1840</v>
      </c>
      <c r="AG95" s="15">
        <v>200</v>
      </c>
      <c r="AH95" s="12">
        <v>400</v>
      </c>
      <c r="AI95" s="12">
        <v>50</v>
      </c>
      <c r="AJ95" s="12">
        <v>110</v>
      </c>
      <c r="AK95" s="9">
        <v>0</v>
      </c>
      <c r="AL95" s="15">
        <v>0</v>
      </c>
      <c r="AM95" s="15">
        <v>20</v>
      </c>
      <c r="AN95" s="15">
        <v>200</v>
      </c>
      <c r="AO95" s="15">
        <v>50</v>
      </c>
      <c r="AP95" s="15">
        <v>200</v>
      </c>
      <c r="AQ95" s="17">
        <v>11953</v>
      </c>
      <c r="AS95">
        <v>200</v>
      </c>
      <c r="AT95" s="12">
        <f t="shared" si="25"/>
        <v>11904</v>
      </c>
      <c r="AU95" s="12">
        <f t="shared" si="26"/>
        <v>11904</v>
      </c>
      <c r="AW95" s="12">
        <v>0</v>
      </c>
      <c r="AX95" s="12">
        <v>0</v>
      </c>
      <c r="AY95" s="12">
        <f t="shared" si="22"/>
        <v>2678.4240591397852</v>
      </c>
      <c r="AZ95" s="12">
        <f t="shared" si="23"/>
        <v>6398.4</v>
      </c>
      <c r="BA95" s="12">
        <f t="shared" si="24"/>
        <v>2678.4</v>
      </c>
      <c r="BB95" s="12">
        <v>0</v>
      </c>
      <c r="BC95">
        <v>150</v>
      </c>
      <c r="BD95" s="12">
        <v>500</v>
      </c>
      <c r="BE95" s="12">
        <v>1300</v>
      </c>
      <c r="BF95" s="12">
        <v>0</v>
      </c>
      <c r="BG95" s="12">
        <v>1000</v>
      </c>
      <c r="BH95" s="12">
        <v>0</v>
      </c>
    </row>
    <row r="96" spans="1:60">
      <c r="A96">
        <v>95</v>
      </c>
      <c r="B96">
        <v>1940342.5</v>
      </c>
      <c r="C96">
        <v>1869966</v>
      </c>
      <c r="D96">
        <v>6202</v>
      </c>
      <c r="E96">
        <v>80125.216218573652</v>
      </c>
      <c r="F96">
        <v>1718</v>
      </c>
      <c r="G96">
        <v>1424</v>
      </c>
      <c r="H96">
        <v>52</v>
      </c>
      <c r="I96">
        <v>3283</v>
      </c>
      <c r="J96">
        <v>3568</v>
      </c>
      <c r="K96">
        <v>1</v>
      </c>
      <c r="L96">
        <v>30</v>
      </c>
      <c r="O96" s="2">
        <v>22</v>
      </c>
      <c r="P96" s="2"/>
      <c r="Q96" s="2"/>
      <c r="S96" s="5">
        <v>1</v>
      </c>
      <c r="T96" s="5">
        <v>0</v>
      </c>
      <c r="U96" s="5">
        <v>0</v>
      </c>
      <c r="V96" s="8"/>
      <c r="X96" s="9">
        <v>330</v>
      </c>
      <c r="Y96" s="9">
        <v>746</v>
      </c>
      <c r="Z96" s="9">
        <v>0</v>
      </c>
      <c r="AA96" s="9">
        <v>495</v>
      </c>
      <c r="AB96" s="9">
        <v>27</v>
      </c>
      <c r="AC96" s="9">
        <v>3404</v>
      </c>
      <c r="AD96" s="12">
        <v>1200</v>
      </c>
      <c r="AF96" s="15">
        <f t="shared" si="0"/>
        <v>1840</v>
      </c>
      <c r="AG96" s="15">
        <v>200</v>
      </c>
      <c r="AH96" s="12">
        <v>400</v>
      </c>
      <c r="AI96" s="12">
        <v>50</v>
      </c>
      <c r="AJ96" s="12">
        <v>110</v>
      </c>
      <c r="AK96" s="9">
        <v>0</v>
      </c>
      <c r="AL96" s="15">
        <v>0</v>
      </c>
      <c r="AM96" s="15">
        <v>20</v>
      </c>
      <c r="AN96" s="15">
        <v>200</v>
      </c>
      <c r="AO96" s="15">
        <v>50</v>
      </c>
      <c r="AP96" s="15">
        <v>200</v>
      </c>
      <c r="AQ96" s="17">
        <v>22225</v>
      </c>
      <c r="AS96">
        <v>200</v>
      </c>
      <c r="AT96" s="12">
        <f t="shared" si="25"/>
        <v>11904</v>
      </c>
      <c r="AU96" s="12">
        <f t="shared" si="26"/>
        <v>11904</v>
      </c>
      <c r="AW96" s="12">
        <v>0</v>
      </c>
      <c r="AX96" s="12">
        <v>0</v>
      </c>
      <c r="AY96" s="12">
        <f t="shared" si="22"/>
        <v>2678.4240591397852</v>
      </c>
      <c r="AZ96" s="12">
        <f t="shared" si="23"/>
        <v>6398.4</v>
      </c>
      <c r="BA96" s="12">
        <f t="shared" si="24"/>
        <v>2678.4</v>
      </c>
      <c r="BB96" s="12">
        <v>0</v>
      </c>
      <c r="BC96">
        <v>150</v>
      </c>
      <c r="BD96" s="12">
        <v>500</v>
      </c>
      <c r="BE96" s="12">
        <v>1300</v>
      </c>
      <c r="BF96" s="12">
        <v>0</v>
      </c>
      <c r="BG96" s="12">
        <v>1000</v>
      </c>
      <c r="BH96" s="12">
        <v>0</v>
      </c>
    </row>
    <row r="97" spans="1:60">
      <c r="A97">
        <v>96</v>
      </c>
      <c r="B97">
        <v>1691532.5</v>
      </c>
      <c r="C97">
        <v>1622159</v>
      </c>
      <c r="D97">
        <v>5935</v>
      </c>
      <c r="E97">
        <v>78516.700138469052</v>
      </c>
      <c r="F97">
        <v>1602</v>
      </c>
      <c r="G97">
        <v>1067</v>
      </c>
      <c r="H97">
        <v>53</v>
      </c>
      <c r="I97">
        <v>3108</v>
      </c>
      <c r="J97">
        <v>3322</v>
      </c>
      <c r="K97">
        <v>1</v>
      </c>
      <c r="L97">
        <v>32</v>
      </c>
      <c r="O97" s="3">
        <v>21</v>
      </c>
      <c r="P97" s="3"/>
      <c r="Q97" s="3"/>
      <c r="S97" s="6">
        <v>0</v>
      </c>
      <c r="T97" s="6">
        <v>0</v>
      </c>
      <c r="U97" s="6">
        <v>1</v>
      </c>
      <c r="V97" s="7"/>
      <c r="X97" s="9">
        <v>165</v>
      </c>
      <c r="Y97" s="9">
        <v>699</v>
      </c>
      <c r="Z97" s="9">
        <v>0</v>
      </c>
      <c r="AA97" s="9">
        <v>557</v>
      </c>
      <c r="AB97" s="9">
        <v>22</v>
      </c>
      <c r="AC97" s="9">
        <v>3292</v>
      </c>
      <c r="AD97" s="12">
        <v>1200</v>
      </c>
      <c r="AF97" s="15">
        <f t="shared" si="0"/>
        <v>1840</v>
      </c>
      <c r="AG97" s="15">
        <v>200</v>
      </c>
      <c r="AH97" s="12">
        <v>400</v>
      </c>
      <c r="AI97" s="12">
        <v>50</v>
      </c>
      <c r="AJ97" s="12">
        <v>110</v>
      </c>
      <c r="AK97" s="9">
        <v>0</v>
      </c>
      <c r="AL97" s="15">
        <v>0</v>
      </c>
      <c r="AM97" s="15">
        <v>20</v>
      </c>
      <c r="AN97" s="15">
        <v>200</v>
      </c>
      <c r="AO97" s="15">
        <v>50</v>
      </c>
      <c r="AP97" s="15">
        <v>200</v>
      </c>
      <c r="AQ97" s="17">
        <v>22315</v>
      </c>
      <c r="AS97">
        <v>200</v>
      </c>
      <c r="AT97" s="12">
        <f t="shared" si="25"/>
        <v>11904</v>
      </c>
      <c r="AU97" s="12">
        <f t="shared" si="26"/>
        <v>11904</v>
      </c>
      <c r="AW97" s="12">
        <v>0</v>
      </c>
      <c r="AX97" s="12">
        <v>0</v>
      </c>
      <c r="AY97" s="12">
        <f t="shared" si="22"/>
        <v>2678.4240591397852</v>
      </c>
      <c r="AZ97" s="12">
        <f t="shared" si="23"/>
        <v>6398.4</v>
      </c>
      <c r="BA97" s="12">
        <f t="shared" si="24"/>
        <v>2678.4</v>
      </c>
      <c r="BB97" s="12">
        <v>0</v>
      </c>
      <c r="BC97">
        <v>150</v>
      </c>
      <c r="BD97" s="12">
        <v>500</v>
      </c>
      <c r="BE97" s="12">
        <v>1300</v>
      </c>
      <c r="BF97" s="12">
        <v>0</v>
      </c>
      <c r="BG97" s="12">
        <v>1000</v>
      </c>
      <c r="BH97" s="12">
        <v>0</v>
      </c>
    </row>
    <row r="98" spans="1:60">
      <c r="A98">
        <v>97</v>
      </c>
      <c r="B98">
        <v>1732542.5</v>
      </c>
      <c r="C98">
        <v>1659963</v>
      </c>
      <c r="D98">
        <v>6483</v>
      </c>
      <c r="E98">
        <v>80466.642072939838</v>
      </c>
      <c r="F98">
        <v>1652</v>
      </c>
      <c r="G98">
        <v>1042</v>
      </c>
      <c r="H98">
        <v>51</v>
      </c>
      <c r="I98">
        <v>7809</v>
      </c>
      <c r="J98">
        <v>7306</v>
      </c>
      <c r="K98">
        <v>368</v>
      </c>
      <c r="L98">
        <v>30</v>
      </c>
      <c r="O98" s="2">
        <v>21</v>
      </c>
      <c r="P98" s="2"/>
      <c r="Q98" s="2"/>
      <c r="S98" s="5">
        <v>0</v>
      </c>
      <c r="T98" s="5">
        <v>368</v>
      </c>
      <c r="U98" s="5">
        <v>0</v>
      </c>
      <c r="V98" s="8"/>
      <c r="X98" s="9">
        <v>36</v>
      </c>
      <c r="Y98" s="9">
        <v>721</v>
      </c>
      <c r="Z98" s="9">
        <v>0</v>
      </c>
      <c r="AA98" s="9">
        <v>1021</v>
      </c>
      <c r="AB98" s="9">
        <v>17</v>
      </c>
      <c r="AC98" s="9">
        <v>3488</v>
      </c>
      <c r="AD98" s="12">
        <v>1200</v>
      </c>
      <c r="AF98" s="15">
        <f t="shared" si="0"/>
        <v>1840</v>
      </c>
      <c r="AG98" s="15">
        <v>200</v>
      </c>
      <c r="AH98" s="12">
        <v>400</v>
      </c>
      <c r="AI98" s="12">
        <v>50</v>
      </c>
      <c r="AJ98" s="12">
        <v>110</v>
      </c>
      <c r="AK98" s="9">
        <v>0</v>
      </c>
      <c r="AL98" s="15">
        <v>0</v>
      </c>
      <c r="AM98" s="15">
        <v>20</v>
      </c>
      <c r="AN98" s="15">
        <v>200</v>
      </c>
      <c r="AO98" s="15">
        <v>50</v>
      </c>
      <c r="AP98" s="15">
        <v>200</v>
      </c>
      <c r="AQ98" s="17">
        <v>24001</v>
      </c>
      <c r="AS98">
        <v>200</v>
      </c>
      <c r="AT98" s="12">
        <f t="shared" si="25"/>
        <v>11904</v>
      </c>
      <c r="AU98" s="12">
        <f t="shared" si="26"/>
        <v>11904</v>
      </c>
      <c r="AW98" s="12">
        <v>0</v>
      </c>
      <c r="AX98" s="12">
        <v>0</v>
      </c>
      <c r="AY98" s="12">
        <f t="shared" si="22"/>
        <v>2678.4240591397852</v>
      </c>
      <c r="AZ98" s="12">
        <f t="shared" si="23"/>
        <v>6398.4</v>
      </c>
      <c r="BA98" s="12">
        <f t="shared" si="24"/>
        <v>2678.4</v>
      </c>
      <c r="BB98" s="12">
        <v>0</v>
      </c>
      <c r="BC98">
        <v>150</v>
      </c>
      <c r="BD98" s="12">
        <v>500</v>
      </c>
      <c r="BE98" s="12">
        <v>1300</v>
      </c>
      <c r="BF98" s="12">
        <v>0</v>
      </c>
      <c r="BG98" s="12">
        <v>1000</v>
      </c>
      <c r="BH98" s="12">
        <v>0</v>
      </c>
    </row>
    <row r="99" spans="1:60">
      <c r="A99">
        <v>98</v>
      </c>
      <c r="B99">
        <v>1794217.5</v>
      </c>
      <c r="C99">
        <v>1708429</v>
      </c>
      <c r="D99">
        <v>9301</v>
      </c>
      <c r="E99">
        <v>62611.48377758744</v>
      </c>
      <c r="F99">
        <v>1383</v>
      </c>
      <c r="G99">
        <v>1081</v>
      </c>
      <c r="H99">
        <v>21</v>
      </c>
      <c r="I99">
        <v>41928</v>
      </c>
      <c r="J99">
        <v>39948</v>
      </c>
      <c r="K99">
        <v>1620</v>
      </c>
      <c r="L99">
        <v>0</v>
      </c>
      <c r="O99" s="3">
        <v>21</v>
      </c>
      <c r="P99" s="3"/>
      <c r="Q99" s="3"/>
      <c r="S99" s="6">
        <v>0</v>
      </c>
      <c r="T99" s="6">
        <v>1619</v>
      </c>
      <c r="U99" s="6">
        <v>1</v>
      </c>
      <c r="V99" s="7"/>
      <c r="X99" s="9">
        <v>255</v>
      </c>
      <c r="Y99" s="9">
        <v>605</v>
      </c>
      <c r="Z99" s="9">
        <v>0</v>
      </c>
      <c r="AA99" s="9">
        <v>1842</v>
      </c>
      <c r="AB99" s="9">
        <v>15</v>
      </c>
      <c r="AC99" s="9">
        <v>5384</v>
      </c>
      <c r="AD99" s="12">
        <v>1200</v>
      </c>
      <c r="AF99" s="15">
        <f t="shared" si="0"/>
        <v>1840</v>
      </c>
      <c r="AG99" s="15">
        <v>200</v>
      </c>
      <c r="AH99" s="12">
        <v>400</v>
      </c>
      <c r="AI99" s="12">
        <v>50</v>
      </c>
      <c r="AJ99" s="12">
        <v>110</v>
      </c>
      <c r="AK99" s="9">
        <v>0</v>
      </c>
      <c r="AL99" s="15">
        <v>0</v>
      </c>
      <c r="AM99" s="15">
        <v>20</v>
      </c>
      <c r="AN99" s="15">
        <v>200</v>
      </c>
      <c r="AO99" s="15">
        <v>50</v>
      </c>
      <c r="AP99" s="15">
        <v>200</v>
      </c>
      <c r="AQ99" s="17">
        <v>5737</v>
      </c>
      <c r="AS99">
        <v>200</v>
      </c>
      <c r="AT99" s="12">
        <f t="shared" si="25"/>
        <v>11904</v>
      </c>
      <c r="AU99" s="12">
        <f t="shared" si="26"/>
        <v>11904</v>
      </c>
      <c r="AW99" s="12">
        <v>0</v>
      </c>
      <c r="AX99" s="12">
        <v>0</v>
      </c>
      <c r="AY99" s="12">
        <f t="shared" si="22"/>
        <v>2678.4240591397852</v>
      </c>
      <c r="AZ99" s="12">
        <f t="shared" si="23"/>
        <v>6398.4</v>
      </c>
      <c r="BA99" s="12">
        <f t="shared" si="24"/>
        <v>2678.4</v>
      </c>
      <c r="BB99" s="12">
        <v>0</v>
      </c>
      <c r="BC99">
        <v>150</v>
      </c>
      <c r="BD99" s="12">
        <v>500</v>
      </c>
      <c r="BE99" s="12">
        <v>1300</v>
      </c>
      <c r="BF99" s="12">
        <v>0</v>
      </c>
      <c r="BG99" s="12">
        <v>1000</v>
      </c>
      <c r="BH99" s="12">
        <v>0</v>
      </c>
    </row>
    <row r="100" spans="1:60">
      <c r="A100">
        <v>99</v>
      </c>
      <c r="B100">
        <v>2337205</v>
      </c>
      <c r="C100">
        <v>2247674</v>
      </c>
      <c r="D100">
        <v>11597</v>
      </c>
      <c r="E100">
        <v>73091.056239308877</v>
      </c>
      <c r="F100">
        <v>1434</v>
      </c>
      <c r="G100">
        <v>1142</v>
      </c>
      <c r="H100">
        <v>20</v>
      </c>
      <c r="I100">
        <v>52710</v>
      </c>
      <c r="J100">
        <v>49729</v>
      </c>
      <c r="K100">
        <v>2457</v>
      </c>
      <c r="L100">
        <v>0</v>
      </c>
      <c r="O100" s="2">
        <v>20</v>
      </c>
      <c r="P100" s="2"/>
      <c r="Q100" s="2"/>
      <c r="S100" s="5">
        <v>499</v>
      </c>
      <c r="T100" s="5">
        <v>1958</v>
      </c>
      <c r="U100" s="5">
        <v>0</v>
      </c>
      <c r="V100" s="8"/>
      <c r="X100" s="9">
        <v>771</v>
      </c>
      <c r="Y100" s="9">
        <v>625</v>
      </c>
      <c r="Z100" s="9">
        <v>0</v>
      </c>
      <c r="AA100" s="9">
        <v>2443</v>
      </c>
      <c r="AB100" s="9">
        <v>14</v>
      </c>
      <c r="AC100" s="9">
        <v>6044</v>
      </c>
      <c r="AD100" s="12">
        <v>1700</v>
      </c>
      <c r="AF100" s="15">
        <f t="shared" si="0"/>
        <v>1840</v>
      </c>
      <c r="AG100" s="15">
        <v>200</v>
      </c>
      <c r="AH100" s="12">
        <v>400</v>
      </c>
      <c r="AI100" s="12">
        <v>50</v>
      </c>
      <c r="AJ100" s="12">
        <v>110</v>
      </c>
      <c r="AK100" s="9">
        <v>0</v>
      </c>
      <c r="AL100" s="15">
        <v>0</v>
      </c>
      <c r="AM100" s="15">
        <v>20</v>
      </c>
      <c r="AN100" s="15">
        <v>200</v>
      </c>
      <c r="AO100" s="15">
        <v>50</v>
      </c>
      <c r="AP100" s="15">
        <v>200</v>
      </c>
      <c r="AQ100" s="15">
        <v>10000</v>
      </c>
      <c r="AS100">
        <v>200</v>
      </c>
      <c r="AT100" s="12">
        <f t="shared" si="25"/>
        <v>11904</v>
      </c>
      <c r="AU100" s="12">
        <f t="shared" si="26"/>
        <v>11904</v>
      </c>
      <c r="AW100" s="12">
        <v>0</v>
      </c>
      <c r="AX100" s="12">
        <v>0</v>
      </c>
      <c r="AY100" s="12">
        <f t="shared" si="22"/>
        <v>2678.4240591397852</v>
      </c>
      <c r="AZ100" s="12">
        <f t="shared" si="23"/>
        <v>6398.4</v>
      </c>
      <c r="BA100" s="12">
        <f t="shared" si="24"/>
        <v>2678.4</v>
      </c>
      <c r="BB100" s="12">
        <v>0</v>
      </c>
      <c r="BC100">
        <v>150</v>
      </c>
      <c r="BD100" s="12">
        <v>500</v>
      </c>
      <c r="BE100" s="12">
        <v>1300</v>
      </c>
      <c r="BF100" s="12">
        <v>2000</v>
      </c>
      <c r="BG100" s="12">
        <v>1000</v>
      </c>
      <c r="BH100" s="12">
        <v>0</v>
      </c>
    </row>
    <row r="101" spans="1:60">
      <c r="A101">
        <v>100</v>
      </c>
      <c r="B101">
        <v>1763615</v>
      </c>
      <c r="C101">
        <v>1683986</v>
      </c>
      <c r="D101">
        <v>11025</v>
      </c>
      <c r="E101">
        <v>81016.97674748479</v>
      </c>
      <c r="F101">
        <v>1293</v>
      </c>
      <c r="G101">
        <v>1029</v>
      </c>
      <c r="H101">
        <v>16</v>
      </c>
      <c r="I101">
        <v>53708</v>
      </c>
      <c r="J101">
        <v>49299</v>
      </c>
      <c r="K101">
        <v>3280</v>
      </c>
      <c r="L101">
        <v>0</v>
      </c>
      <c r="O101" s="3">
        <v>16</v>
      </c>
      <c r="P101" s="3"/>
      <c r="Q101" s="3"/>
      <c r="S101" s="6">
        <v>700</v>
      </c>
      <c r="T101" s="6">
        <v>2257</v>
      </c>
      <c r="U101" s="6">
        <v>323</v>
      </c>
      <c r="V101" s="7"/>
      <c r="X101" s="9">
        <v>1023</v>
      </c>
      <c r="Y101" s="9">
        <v>563</v>
      </c>
      <c r="Z101" s="9">
        <v>0</v>
      </c>
      <c r="AA101" s="9">
        <v>2519</v>
      </c>
      <c r="AB101" s="9">
        <v>12</v>
      </c>
      <c r="AC101" s="9">
        <v>5208</v>
      </c>
      <c r="AD101" s="12">
        <v>1700</v>
      </c>
      <c r="AF101" s="15">
        <f t="shared" si="0"/>
        <v>1840</v>
      </c>
      <c r="AG101" s="15">
        <v>200</v>
      </c>
      <c r="AH101" s="12">
        <v>400</v>
      </c>
      <c r="AI101" s="12">
        <v>50</v>
      </c>
      <c r="AJ101" s="12">
        <v>110</v>
      </c>
      <c r="AK101" s="9">
        <v>0</v>
      </c>
      <c r="AL101" s="15">
        <v>0</v>
      </c>
      <c r="AM101" s="15">
        <v>20</v>
      </c>
      <c r="AN101" s="15">
        <v>200</v>
      </c>
      <c r="AO101" s="15">
        <v>50</v>
      </c>
      <c r="AP101" s="15">
        <v>200</v>
      </c>
      <c r="AQ101" s="17">
        <v>22984</v>
      </c>
      <c r="AS101">
        <v>200</v>
      </c>
      <c r="AT101" s="12">
        <f t="shared" si="25"/>
        <v>11904</v>
      </c>
      <c r="AU101" s="12">
        <f t="shared" si="26"/>
        <v>11904</v>
      </c>
      <c r="AW101" s="12">
        <v>0</v>
      </c>
      <c r="AX101" s="12">
        <v>0</v>
      </c>
      <c r="AY101" s="12">
        <f t="shared" ref="AY101:AY115" si="27">(2.22*24*31)+(73.6*((((BG101/24)/31)/1000)^2)*(24*31))</f>
        <v>1651.7789247311828</v>
      </c>
      <c r="AZ101" s="12">
        <f t="shared" si="23"/>
        <v>6398.4</v>
      </c>
      <c r="BA101" s="12">
        <f t="shared" si="24"/>
        <v>2678.4</v>
      </c>
      <c r="BB101" s="12">
        <v>0</v>
      </c>
      <c r="BC101">
        <v>150</v>
      </c>
      <c r="BD101" s="12">
        <v>500</v>
      </c>
      <c r="BE101" s="12">
        <v>1300</v>
      </c>
      <c r="BF101" s="12">
        <v>2000</v>
      </c>
      <c r="BG101" s="12">
        <v>1000</v>
      </c>
      <c r="BH101" s="12">
        <v>0</v>
      </c>
    </row>
    <row r="102" spans="1:60">
      <c r="A102">
        <v>101</v>
      </c>
      <c r="B102">
        <v>2142647.5</v>
      </c>
      <c r="C102">
        <v>2030980</v>
      </c>
      <c r="D102">
        <v>11357</v>
      </c>
      <c r="E102">
        <v>100310.71110217372</v>
      </c>
      <c r="F102">
        <v>1269</v>
      </c>
      <c r="G102">
        <v>1000</v>
      </c>
      <c r="H102">
        <v>20</v>
      </c>
      <c r="I102">
        <v>95942</v>
      </c>
      <c r="J102">
        <v>88542</v>
      </c>
      <c r="K102">
        <v>4192</v>
      </c>
      <c r="L102">
        <v>0</v>
      </c>
      <c r="O102" s="2">
        <v>20</v>
      </c>
      <c r="P102" s="2"/>
      <c r="Q102" s="2"/>
      <c r="S102" s="5">
        <v>1122</v>
      </c>
      <c r="T102" s="5">
        <v>2610</v>
      </c>
      <c r="U102" s="5">
        <v>460</v>
      </c>
      <c r="V102" s="8"/>
      <c r="X102" s="9">
        <v>2472</v>
      </c>
      <c r="Y102" s="9">
        <v>546</v>
      </c>
      <c r="Z102" s="9">
        <v>0</v>
      </c>
      <c r="AA102" s="9">
        <v>2875</v>
      </c>
      <c r="AB102" s="9">
        <v>56</v>
      </c>
      <c r="AC102" s="9">
        <v>3708</v>
      </c>
      <c r="AD102" s="12">
        <v>1700</v>
      </c>
      <c r="AF102" s="15">
        <f t="shared" si="0"/>
        <v>1840</v>
      </c>
      <c r="AG102" s="15">
        <v>200</v>
      </c>
      <c r="AH102" s="12">
        <v>400</v>
      </c>
      <c r="AI102" s="12">
        <v>50</v>
      </c>
      <c r="AJ102" s="12">
        <v>110</v>
      </c>
      <c r="AK102" s="9">
        <v>0</v>
      </c>
      <c r="AL102" s="15">
        <v>0</v>
      </c>
      <c r="AM102" s="15">
        <v>20</v>
      </c>
      <c r="AN102" s="15">
        <v>200</v>
      </c>
      <c r="AO102" s="15">
        <v>50</v>
      </c>
      <c r="AP102" s="15">
        <v>200</v>
      </c>
      <c r="AQ102" s="17">
        <v>24616</v>
      </c>
      <c r="AS102">
        <v>200</v>
      </c>
      <c r="AT102" s="12">
        <f t="shared" si="25"/>
        <v>11904</v>
      </c>
      <c r="AU102" s="12">
        <f t="shared" si="26"/>
        <v>11904</v>
      </c>
      <c r="AW102" s="12">
        <v>0</v>
      </c>
      <c r="AX102" s="12">
        <v>0</v>
      </c>
      <c r="AY102" s="12">
        <f t="shared" si="27"/>
        <v>1651.7789247311828</v>
      </c>
      <c r="AZ102" s="12">
        <f t="shared" si="23"/>
        <v>6398.9395639832255</v>
      </c>
      <c r="BA102" s="12">
        <f t="shared" ref="BA102:BA115" si="28">(2.2*24*31)+(13.2*((((BI102/31)/24)/1000)^2)*(24*31))</f>
        <v>1636.8000000000002</v>
      </c>
      <c r="BB102" s="12">
        <v>0</v>
      </c>
      <c r="BC102">
        <v>150</v>
      </c>
      <c r="BD102" s="12">
        <v>500</v>
      </c>
      <c r="BE102" s="12">
        <v>1300</v>
      </c>
      <c r="BF102" s="12">
        <f>10*4*8*31</f>
        <v>9920</v>
      </c>
      <c r="BG102" s="12">
        <v>1000</v>
      </c>
      <c r="BH102" s="12">
        <v>7729</v>
      </c>
    </row>
    <row r="103" spans="1:60">
      <c r="A103">
        <v>102</v>
      </c>
      <c r="B103">
        <v>1627045</v>
      </c>
      <c r="C103">
        <v>1536623</v>
      </c>
      <c r="D103">
        <v>10120</v>
      </c>
      <c r="E103">
        <v>80302.207301769522</v>
      </c>
      <c r="F103">
        <v>1507</v>
      </c>
      <c r="G103">
        <v>1151</v>
      </c>
      <c r="H103">
        <v>22</v>
      </c>
      <c r="I103">
        <v>62248</v>
      </c>
      <c r="J103">
        <v>57864</v>
      </c>
      <c r="K103">
        <v>3821</v>
      </c>
      <c r="L103">
        <v>0</v>
      </c>
      <c r="O103" s="3">
        <v>22</v>
      </c>
      <c r="P103" s="3"/>
      <c r="Q103" s="3"/>
      <c r="S103" s="6">
        <v>1055</v>
      </c>
      <c r="T103" s="6">
        <v>2343</v>
      </c>
      <c r="U103" s="6">
        <v>423</v>
      </c>
      <c r="V103" s="7"/>
      <c r="X103" s="9">
        <v>714</v>
      </c>
      <c r="Y103" s="9">
        <v>649</v>
      </c>
      <c r="Z103" s="9">
        <v>0</v>
      </c>
      <c r="AA103" s="9">
        <v>2863</v>
      </c>
      <c r="AB103" s="9">
        <v>14</v>
      </c>
      <c r="AC103" s="9">
        <v>4180</v>
      </c>
      <c r="AD103" s="12">
        <v>1700</v>
      </c>
      <c r="AF103" s="15">
        <f t="shared" si="0"/>
        <v>1840</v>
      </c>
      <c r="AG103" s="15">
        <v>200</v>
      </c>
      <c r="AH103" s="12">
        <v>400</v>
      </c>
      <c r="AI103" s="12">
        <v>50</v>
      </c>
      <c r="AJ103" s="12">
        <v>110</v>
      </c>
      <c r="AK103" s="9">
        <v>0</v>
      </c>
      <c r="AL103" s="15">
        <v>0</v>
      </c>
      <c r="AM103" s="15">
        <v>20</v>
      </c>
      <c r="AN103" s="15">
        <v>200</v>
      </c>
      <c r="AO103" s="15">
        <v>50</v>
      </c>
      <c r="AP103" s="15">
        <v>200</v>
      </c>
      <c r="AQ103" s="17">
        <v>28508</v>
      </c>
      <c r="AS103">
        <v>200</v>
      </c>
      <c r="AT103" s="12">
        <f t="shared" si="25"/>
        <v>11904</v>
      </c>
      <c r="AU103" s="12">
        <f t="shared" si="26"/>
        <v>11904</v>
      </c>
      <c r="AW103" s="12">
        <v>0</v>
      </c>
      <c r="AX103" s="12">
        <v>0</v>
      </c>
      <c r="AY103" s="12">
        <f t="shared" si="27"/>
        <v>1651.7789247311828</v>
      </c>
      <c r="AZ103" s="12">
        <f t="shared" si="23"/>
        <v>6398.4</v>
      </c>
      <c r="BA103" s="12">
        <f t="shared" si="28"/>
        <v>1636.8000000000002</v>
      </c>
      <c r="BB103" s="12">
        <v>0</v>
      </c>
      <c r="BC103">
        <v>150</v>
      </c>
      <c r="BD103" s="12">
        <v>500</v>
      </c>
      <c r="BE103" s="12">
        <v>947</v>
      </c>
      <c r="BF103" s="12">
        <v>0</v>
      </c>
      <c r="BG103" s="12">
        <v>1000</v>
      </c>
      <c r="BH103" s="12">
        <v>0</v>
      </c>
    </row>
    <row r="104" spans="1:60">
      <c r="A104">
        <v>103</v>
      </c>
      <c r="B104">
        <v>1951260</v>
      </c>
      <c r="C104">
        <v>1858743</v>
      </c>
      <c r="D104">
        <v>13295</v>
      </c>
      <c r="E104">
        <v>79222.470873660437</v>
      </c>
      <c r="F104">
        <v>1530</v>
      </c>
      <c r="G104">
        <v>1220</v>
      </c>
      <c r="H104">
        <v>21</v>
      </c>
      <c r="I104">
        <v>54149</v>
      </c>
      <c r="J104">
        <v>49804</v>
      </c>
      <c r="K104">
        <v>3616</v>
      </c>
      <c r="L104">
        <v>0</v>
      </c>
      <c r="O104" s="2">
        <v>21</v>
      </c>
      <c r="P104" s="2"/>
      <c r="Q104" s="2"/>
      <c r="S104" s="5">
        <v>974</v>
      </c>
      <c r="T104" s="5">
        <v>2232</v>
      </c>
      <c r="U104" s="5">
        <v>410</v>
      </c>
      <c r="V104" s="8"/>
      <c r="X104" s="9">
        <v>780</v>
      </c>
      <c r="Y104" s="9">
        <v>659</v>
      </c>
      <c r="Z104" s="9">
        <v>0</v>
      </c>
      <c r="AA104" s="9">
        <v>2660</v>
      </c>
      <c r="AB104" s="9">
        <v>16</v>
      </c>
      <c r="AC104" s="9">
        <v>7480</v>
      </c>
      <c r="AD104" s="12">
        <v>1700</v>
      </c>
      <c r="AF104" s="15">
        <f t="shared" si="0"/>
        <v>1840</v>
      </c>
      <c r="AG104" s="15">
        <v>200</v>
      </c>
      <c r="AH104" s="12">
        <v>400</v>
      </c>
      <c r="AI104" s="12">
        <v>50</v>
      </c>
      <c r="AJ104" s="12">
        <v>110</v>
      </c>
      <c r="AK104" s="9">
        <v>0</v>
      </c>
      <c r="AL104" s="15">
        <v>0</v>
      </c>
      <c r="AM104" s="15">
        <v>20</v>
      </c>
      <c r="AN104" s="15">
        <v>200</v>
      </c>
      <c r="AO104" s="15">
        <v>50</v>
      </c>
      <c r="AP104" s="15">
        <v>200</v>
      </c>
      <c r="AQ104" s="17">
        <v>24037</v>
      </c>
      <c r="AS104">
        <v>200</v>
      </c>
      <c r="AT104" s="12">
        <f t="shared" si="25"/>
        <v>11904</v>
      </c>
      <c r="AU104" s="12">
        <f t="shared" si="26"/>
        <v>11904</v>
      </c>
      <c r="AW104" s="12">
        <v>0</v>
      </c>
      <c r="AX104" s="12">
        <v>0</v>
      </c>
      <c r="AY104" s="12">
        <f t="shared" si="27"/>
        <v>1651.7789247311828</v>
      </c>
      <c r="AZ104" s="12">
        <f t="shared" si="23"/>
        <v>6398.4</v>
      </c>
      <c r="BA104" s="12">
        <f t="shared" si="28"/>
        <v>1636.8000000000002</v>
      </c>
      <c r="BB104" s="12">
        <v>0</v>
      </c>
      <c r="BC104">
        <v>150</v>
      </c>
      <c r="BD104" s="12">
        <v>500</v>
      </c>
      <c r="BE104" s="12">
        <v>544</v>
      </c>
      <c r="BF104" s="12">
        <v>0</v>
      </c>
      <c r="BG104" s="12">
        <v>1000</v>
      </c>
      <c r="BH104" s="12">
        <v>0</v>
      </c>
    </row>
    <row r="105" spans="1:60">
      <c r="A105">
        <v>104</v>
      </c>
      <c r="B105">
        <v>1859935</v>
      </c>
      <c r="C105">
        <v>1776210</v>
      </c>
      <c r="D105">
        <v>11030</v>
      </c>
      <c r="E105">
        <v>72695.152013771527</v>
      </c>
      <c r="F105">
        <v>1699</v>
      </c>
      <c r="G105">
        <v>1421</v>
      </c>
      <c r="H105">
        <v>23</v>
      </c>
      <c r="I105">
        <v>23391</v>
      </c>
      <c r="J105">
        <v>20380</v>
      </c>
      <c r="K105">
        <v>2201</v>
      </c>
      <c r="L105">
        <v>0</v>
      </c>
      <c r="O105" s="3">
        <v>23</v>
      </c>
      <c r="P105" s="3"/>
      <c r="Q105" s="3"/>
      <c r="S105" s="6">
        <v>449</v>
      </c>
      <c r="T105" s="6">
        <v>1510</v>
      </c>
      <c r="U105" s="6">
        <v>242</v>
      </c>
      <c r="V105" s="7"/>
      <c r="X105" s="9">
        <v>519</v>
      </c>
      <c r="Y105" s="9">
        <v>732</v>
      </c>
      <c r="Z105" s="9">
        <v>0</v>
      </c>
      <c r="AA105" s="9">
        <v>1701</v>
      </c>
      <c r="AB105" s="9">
        <v>22</v>
      </c>
      <c r="AC105" s="9">
        <v>6356</v>
      </c>
      <c r="AD105" s="12">
        <v>1700</v>
      </c>
      <c r="AF105" s="15">
        <f t="shared" si="0"/>
        <v>1840</v>
      </c>
      <c r="AG105" s="15">
        <v>200</v>
      </c>
      <c r="AH105" s="12">
        <v>400</v>
      </c>
      <c r="AI105" s="12">
        <v>50</v>
      </c>
      <c r="AJ105" s="12">
        <v>110</v>
      </c>
      <c r="AK105" s="9">
        <v>0</v>
      </c>
      <c r="AL105" s="15">
        <v>0</v>
      </c>
      <c r="AM105" s="15">
        <v>20</v>
      </c>
      <c r="AN105" s="15">
        <v>200</v>
      </c>
      <c r="AO105" s="15">
        <v>50</v>
      </c>
      <c r="AP105" s="15">
        <v>200</v>
      </c>
      <c r="AQ105" s="17">
        <v>27243</v>
      </c>
      <c r="AS105">
        <v>200</v>
      </c>
      <c r="AT105" s="12">
        <f>(10*24*31)+(89.5*((((BJ105/24)/31)/8000)^2)*(24*31))</f>
        <v>7440</v>
      </c>
      <c r="AU105" s="12">
        <f>(10*24*31)+(89.5*((((BJ105/24)/31)/7000)^2)*(24*31))</f>
        <v>7440</v>
      </c>
      <c r="AW105" s="12">
        <v>0</v>
      </c>
      <c r="AX105" s="12">
        <v>0</v>
      </c>
      <c r="AY105" s="12">
        <f t="shared" si="27"/>
        <v>1651.7789247311828</v>
      </c>
      <c r="AZ105" s="12">
        <f t="shared" si="23"/>
        <v>6398.4</v>
      </c>
      <c r="BA105" s="12">
        <f t="shared" si="28"/>
        <v>1636.8000000000002</v>
      </c>
      <c r="BB105" s="12">
        <v>0</v>
      </c>
      <c r="BC105">
        <v>150</v>
      </c>
      <c r="BD105" s="12">
        <v>500</v>
      </c>
      <c r="BE105" s="12">
        <v>933</v>
      </c>
      <c r="BF105" s="12">
        <v>0</v>
      </c>
      <c r="BG105" s="12">
        <v>1000</v>
      </c>
      <c r="BH105" s="12">
        <v>0</v>
      </c>
    </row>
    <row r="106" spans="1:60">
      <c r="A106">
        <v>105</v>
      </c>
      <c r="B106">
        <v>2099762.5</v>
      </c>
      <c r="C106">
        <v>2023424</v>
      </c>
      <c r="D106">
        <v>8997</v>
      </c>
      <c r="E106">
        <v>67341.252240590708</v>
      </c>
      <c r="F106">
        <v>1867</v>
      </c>
      <c r="G106">
        <v>1770</v>
      </c>
      <c r="H106">
        <v>20</v>
      </c>
      <c r="I106">
        <v>8660</v>
      </c>
      <c r="J106">
        <v>7959</v>
      </c>
      <c r="K106">
        <v>366</v>
      </c>
      <c r="L106">
        <v>0</v>
      </c>
      <c r="O106" s="2">
        <v>20</v>
      </c>
      <c r="P106" s="2"/>
      <c r="Q106" s="2"/>
      <c r="S106" s="5">
        <v>86</v>
      </c>
      <c r="T106" s="5">
        <v>170</v>
      </c>
      <c r="U106" s="5">
        <v>110</v>
      </c>
      <c r="V106" s="8"/>
      <c r="X106" s="9">
        <v>384</v>
      </c>
      <c r="Y106" s="9">
        <v>798</v>
      </c>
      <c r="Z106" s="9">
        <v>0</v>
      </c>
      <c r="AA106" s="9">
        <v>1016</v>
      </c>
      <c r="AB106" s="9">
        <v>23</v>
      </c>
      <c r="AC106" s="9">
        <v>5076</v>
      </c>
      <c r="AD106" s="12">
        <v>1700</v>
      </c>
      <c r="AF106" s="15">
        <f t="shared" si="0"/>
        <v>1840</v>
      </c>
      <c r="AG106" s="15">
        <v>200</v>
      </c>
      <c r="AH106" s="12">
        <v>400</v>
      </c>
      <c r="AI106" s="12">
        <v>50</v>
      </c>
      <c r="AJ106" s="12">
        <v>110</v>
      </c>
      <c r="AK106" s="9">
        <v>0</v>
      </c>
      <c r="AL106" s="15">
        <v>0</v>
      </c>
      <c r="AM106" s="15">
        <v>20</v>
      </c>
      <c r="AN106" s="15">
        <v>200</v>
      </c>
      <c r="AO106" s="15">
        <v>50</v>
      </c>
      <c r="AP106" s="15">
        <v>200</v>
      </c>
      <c r="AQ106" s="17">
        <v>18708</v>
      </c>
      <c r="AS106">
        <v>200</v>
      </c>
      <c r="AT106" s="12">
        <f>(10*24*31)+(89.5*((((BJ106/24)/31)/8000)^2)*(24*31))</f>
        <v>7440</v>
      </c>
      <c r="AU106" s="12">
        <f>(10*24*31)+(89.5*((((BJ106/24)/31)/7000)^2)*(24*31))</f>
        <v>7440</v>
      </c>
      <c r="AW106" s="12">
        <v>0</v>
      </c>
      <c r="AX106" s="12">
        <v>0</v>
      </c>
      <c r="AY106" s="12">
        <f t="shared" si="27"/>
        <v>1651.7789247311828</v>
      </c>
      <c r="AZ106" s="12">
        <f t="shared" si="23"/>
        <v>6398.4</v>
      </c>
      <c r="BA106" s="12">
        <f t="shared" si="28"/>
        <v>1636.8000000000002</v>
      </c>
      <c r="BB106" s="12">
        <v>0</v>
      </c>
      <c r="BC106">
        <v>150</v>
      </c>
      <c r="BD106" s="12">
        <v>500</v>
      </c>
      <c r="BE106" s="12">
        <v>513</v>
      </c>
      <c r="BF106" s="12">
        <v>0</v>
      </c>
      <c r="BG106" s="12">
        <v>1000</v>
      </c>
      <c r="BH106" s="12">
        <v>0</v>
      </c>
    </row>
    <row r="107" spans="1:60">
      <c r="A107">
        <v>106</v>
      </c>
      <c r="B107">
        <v>1094635</v>
      </c>
      <c r="C107">
        <v>1018423</v>
      </c>
      <c r="D107">
        <v>6731</v>
      </c>
      <c r="E107">
        <v>69480.678416746407</v>
      </c>
      <c r="F107">
        <v>2229</v>
      </c>
      <c r="G107">
        <v>2027</v>
      </c>
      <c r="H107">
        <v>46</v>
      </c>
      <c r="I107">
        <v>2995</v>
      </c>
      <c r="J107">
        <v>2936</v>
      </c>
      <c r="K107">
        <v>6</v>
      </c>
      <c r="L107">
        <v>25</v>
      </c>
      <c r="O107" s="3">
        <v>21</v>
      </c>
      <c r="P107" s="3"/>
      <c r="Q107" s="3"/>
      <c r="S107" s="6">
        <v>1</v>
      </c>
      <c r="T107" s="6">
        <v>0</v>
      </c>
      <c r="U107" s="6">
        <v>5</v>
      </c>
      <c r="V107" s="7"/>
      <c r="X107" s="9">
        <v>84</v>
      </c>
      <c r="Y107" s="9">
        <v>966</v>
      </c>
      <c r="Z107" s="9">
        <v>0</v>
      </c>
      <c r="AA107" s="9">
        <v>651</v>
      </c>
      <c r="AB107" s="9">
        <v>10</v>
      </c>
      <c r="AC107" s="9">
        <v>4100</v>
      </c>
      <c r="AD107" s="12">
        <v>920</v>
      </c>
      <c r="AF107" s="15">
        <f t="shared" si="0"/>
        <v>1840</v>
      </c>
      <c r="AG107" s="15">
        <v>200</v>
      </c>
      <c r="AH107" s="12">
        <v>400</v>
      </c>
      <c r="AI107" s="12">
        <v>50</v>
      </c>
      <c r="AJ107" s="12">
        <v>110</v>
      </c>
      <c r="AK107" s="9">
        <v>0</v>
      </c>
      <c r="AL107" s="15">
        <v>0</v>
      </c>
      <c r="AM107" s="15">
        <v>20</v>
      </c>
      <c r="AN107" s="15">
        <v>200</v>
      </c>
      <c r="AO107" s="15">
        <v>50</v>
      </c>
      <c r="AP107" s="15">
        <v>200</v>
      </c>
      <c r="AQ107" s="17">
        <v>27543</v>
      </c>
      <c r="AS107">
        <v>200</v>
      </c>
      <c r="AT107" s="12">
        <f>(11*24*31)+(89.5*((((BJ107/24)/31)/8000)^2)*(24*31))</f>
        <v>8184</v>
      </c>
      <c r="AU107" s="12">
        <f>(11*24*31)+(89.5*((((BJ107/24)/31)/7000)^2)*(24*31))</f>
        <v>8184</v>
      </c>
      <c r="AW107" s="12">
        <v>0</v>
      </c>
      <c r="AX107" s="12">
        <v>0</v>
      </c>
      <c r="AY107" s="12">
        <f t="shared" si="27"/>
        <v>1651.7789247311828</v>
      </c>
      <c r="AZ107" s="12">
        <f t="shared" si="23"/>
        <v>6398.4134436129025</v>
      </c>
      <c r="BA107" s="12">
        <f t="shared" si="28"/>
        <v>1636.8000000000002</v>
      </c>
      <c r="BB107" s="12">
        <v>0</v>
      </c>
      <c r="BC107">
        <v>150</v>
      </c>
      <c r="BD107" s="12">
        <v>500</v>
      </c>
      <c r="BE107" s="12">
        <v>1300</v>
      </c>
      <c r="BF107" s="12">
        <v>0</v>
      </c>
      <c r="BG107" s="12">
        <v>1000</v>
      </c>
      <c r="BH107" s="12">
        <v>1220</v>
      </c>
    </row>
    <row r="108" spans="1:60">
      <c r="A108">
        <v>107</v>
      </c>
      <c r="B108">
        <v>714492.5</v>
      </c>
      <c r="C108">
        <v>652488</v>
      </c>
      <c r="D108">
        <v>5614</v>
      </c>
      <c r="E108">
        <v>56390.964558467531</v>
      </c>
      <c r="F108">
        <v>1624</v>
      </c>
      <c r="G108">
        <v>1432</v>
      </c>
      <c r="H108">
        <v>33</v>
      </c>
      <c r="I108">
        <v>1115</v>
      </c>
      <c r="J108">
        <v>979</v>
      </c>
      <c r="K108">
        <v>3</v>
      </c>
      <c r="L108">
        <v>15</v>
      </c>
      <c r="O108" s="2">
        <v>18</v>
      </c>
      <c r="P108" s="2"/>
      <c r="Q108" s="2"/>
      <c r="S108" s="5">
        <v>1</v>
      </c>
      <c r="T108" s="5">
        <v>1</v>
      </c>
      <c r="U108" s="5">
        <v>1</v>
      </c>
      <c r="V108" s="8"/>
      <c r="X108" s="9">
        <v>42</v>
      </c>
      <c r="Y108" s="9">
        <v>702</v>
      </c>
      <c r="Z108" s="9">
        <v>0</v>
      </c>
      <c r="AA108" s="9">
        <v>352</v>
      </c>
      <c r="AB108" s="9">
        <v>18</v>
      </c>
      <c r="AC108" s="9">
        <v>3580</v>
      </c>
      <c r="AD108" s="12">
        <v>920</v>
      </c>
      <c r="AF108" s="15">
        <f t="shared" si="0"/>
        <v>1840</v>
      </c>
      <c r="AG108" s="15">
        <v>200</v>
      </c>
      <c r="AH108" s="12">
        <v>400</v>
      </c>
      <c r="AI108" s="12">
        <v>50</v>
      </c>
      <c r="AJ108" s="12">
        <v>110</v>
      </c>
      <c r="AK108" s="9">
        <v>0</v>
      </c>
      <c r="AL108" s="15">
        <v>0</v>
      </c>
      <c r="AM108" s="15">
        <v>20</v>
      </c>
      <c r="AN108" s="15">
        <v>200</v>
      </c>
      <c r="AO108" s="15">
        <v>50</v>
      </c>
      <c r="AP108" s="15">
        <v>200</v>
      </c>
      <c r="AQ108" s="17">
        <v>24839</v>
      </c>
      <c r="AS108">
        <v>200</v>
      </c>
      <c r="AT108" s="12">
        <f>(10*24*31)+(89.5*((((BJ108/24)/31)/8000)^2)*(24*31))</f>
        <v>7440</v>
      </c>
      <c r="AU108" s="12">
        <f t="shared" ref="AU108:AU113" si="29">(10*24*31)+(89.5*((((BJ108/24)/31)/7000)^2)*(24*31))</f>
        <v>7440</v>
      </c>
      <c r="AW108" s="12">
        <v>0</v>
      </c>
      <c r="AX108" s="12">
        <v>0</v>
      </c>
      <c r="AY108" s="12">
        <f t="shared" si="27"/>
        <v>1651.715612903226</v>
      </c>
      <c r="AZ108" s="12">
        <f>1*((4.3*24*31)+(21*(((((BH108/2)/31)/24)/1250)^2)*(24*31)))</f>
        <v>3199.2</v>
      </c>
      <c r="BA108" s="12">
        <f t="shared" si="28"/>
        <v>1636.8000000000002</v>
      </c>
      <c r="BB108" s="12">
        <v>0</v>
      </c>
      <c r="BC108">
        <v>150</v>
      </c>
      <c r="BD108" s="12">
        <v>500</v>
      </c>
      <c r="BE108" s="12">
        <v>500</v>
      </c>
      <c r="BF108" s="12">
        <v>0</v>
      </c>
      <c r="BG108" s="12">
        <v>600</v>
      </c>
      <c r="BH108" s="12">
        <v>0</v>
      </c>
    </row>
    <row r="109" spans="1:60">
      <c r="A109">
        <v>108</v>
      </c>
      <c r="B109">
        <v>827397.5</v>
      </c>
      <c r="C109">
        <v>758522</v>
      </c>
      <c r="D109">
        <v>6882</v>
      </c>
      <c r="E109">
        <v>61993.339109967914</v>
      </c>
      <c r="F109">
        <v>1866</v>
      </c>
      <c r="G109">
        <v>1578</v>
      </c>
      <c r="H109">
        <v>34</v>
      </c>
      <c r="I109">
        <v>2527</v>
      </c>
      <c r="J109">
        <v>2527</v>
      </c>
      <c r="K109">
        <v>0</v>
      </c>
      <c r="L109">
        <v>15</v>
      </c>
      <c r="O109" s="3">
        <v>19</v>
      </c>
      <c r="P109" s="3"/>
      <c r="Q109" s="3"/>
      <c r="S109" s="6">
        <v>0</v>
      </c>
      <c r="T109" s="6">
        <v>0</v>
      </c>
      <c r="U109" s="6">
        <v>0</v>
      </c>
      <c r="V109" s="7"/>
      <c r="X109" s="9">
        <v>75</v>
      </c>
      <c r="Y109" s="9">
        <v>793</v>
      </c>
      <c r="Z109" s="9">
        <v>0</v>
      </c>
      <c r="AA109" s="9">
        <v>481</v>
      </c>
      <c r="AB109" s="9">
        <v>15</v>
      </c>
      <c r="AC109" s="9">
        <v>4276</v>
      </c>
      <c r="AD109" s="9">
        <v>1242</v>
      </c>
      <c r="AF109" s="15">
        <f t="shared" si="0"/>
        <v>1840</v>
      </c>
      <c r="AG109" s="15">
        <v>200</v>
      </c>
      <c r="AH109" s="12">
        <v>400</v>
      </c>
      <c r="AI109" s="12">
        <v>50</v>
      </c>
      <c r="AJ109" s="12">
        <v>110</v>
      </c>
      <c r="AK109" s="9">
        <v>0</v>
      </c>
      <c r="AL109" s="15">
        <v>0</v>
      </c>
      <c r="AM109" s="15">
        <v>20</v>
      </c>
      <c r="AN109" s="15">
        <v>140</v>
      </c>
      <c r="AO109" s="15">
        <v>42</v>
      </c>
      <c r="AP109" s="15">
        <v>140</v>
      </c>
      <c r="AQ109" s="17">
        <v>31464</v>
      </c>
      <c r="AS109">
        <v>200</v>
      </c>
      <c r="AT109" s="12">
        <f>(10*24*31)+(89.5*((((BJ109/24)/31)/8000)^2)*(24*31))</f>
        <v>7440</v>
      </c>
      <c r="AU109" s="12">
        <f t="shared" si="29"/>
        <v>7440</v>
      </c>
      <c r="AW109" s="12">
        <v>0</v>
      </c>
      <c r="AX109" s="12">
        <v>0</v>
      </c>
      <c r="AY109" s="12">
        <f t="shared" si="27"/>
        <v>1651.715612903226</v>
      </c>
      <c r="AZ109" s="12">
        <f>1*((4.3*24*31)+(21*(((((BH109/2)/31)/24)/1250)^2)*(24*31)))</f>
        <v>3199.2</v>
      </c>
      <c r="BA109" s="12">
        <f t="shared" si="28"/>
        <v>1636.8000000000002</v>
      </c>
      <c r="BB109" s="12">
        <v>0</v>
      </c>
      <c r="BC109">
        <v>150</v>
      </c>
      <c r="BD109" s="12">
        <v>500</v>
      </c>
      <c r="BE109" s="12">
        <v>500</v>
      </c>
      <c r="BF109" s="12">
        <v>0</v>
      </c>
      <c r="BG109" s="12">
        <v>600</v>
      </c>
      <c r="BH109" s="12">
        <v>0</v>
      </c>
    </row>
    <row r="110" spans="1:60">
      <c r="A110">
        <v>109</v>
      </c>
      <c r="B110">
        <v>896977.5</v>
      </c>
      <c r="C110">
        <v>828006</v>
      </c>
      <c r="D110">
        <v>6873</v>
      </c>
      <c r="E110">
        <v>62098.062502804663</v>
      </c>
      <c r="F110">
        <v>1649</v>
      </c>
      <c r="G110">
        <v>1497</v>
      </c>
      <c r="H110">
        <v>61</v>
      </c>
      <c r="I110">
        <v>4417</v>
      </c>
      <c r="J110">
        <v>4010</v>
      </c>
      <c r="K110">
        <v>322</v>
      </c>
      <c r="L110">
        <v>10</v>
      </c>
      <c r="O110" s="2">
        <v>51</v>
      </c>
      <c r="P110" s="2"/>
      <c r="Q110" s="2"/>
      <c r="S110" s="5">
        <v>0</v>
      </c>
      <c r="T110" s="5">
        <v>292</v>
      </c>
      <c r="U110" s="5">
        <v>30</v>
      </c>
      <c r="V110" s="8"/>
      <c r="X110" s="9">
        <v>150</v>
      </c>
      <c r="Y110" s="9">
        <v>695</v>
      </c>
      <c r="Z110" s="9">
        <v>0</v>
      </c>
      <c r="AA110" s="9">
        <v>634</v>
      </c>
      <c r="AB110" s="9">
        <v>12</v>
      </c>
      <c r="AC110" s="9">
        <v>4000</v>
      </c>
      <c r="AD110" s="9">
        <v>1382</v>
      </c>
      <c r="AF110" s="15">
        <f t="shared" si="0"/>
        <v>1840</v>
      </c>
      <c r="AG110" s="15">
        <v>200</v>
      </c>
      <c r="AH110" s="12">
        <v>400</v>
      </c>
      <c r="AI110" s="12">
        <v>50</v>
      </c>
      <c r="AJ110" s="12">
        <v>110</v>
      </c>
      <c r="AK110" s="9">
        <v>0</v>
      </c>
      <c r="AL110" s="15">
        <v>0</v>
      </c>
      <c r="AM110" s="15">
        <v>20</v>
      </c>
      <c r="AN110" s="15">
        <v>143</v>
      </c>
      <c r="AO110" s="15">
        <v>50</v>
      </c>
      <c r="AP110" s="15">
        <v>100</v>
      </c>
      <c r="AQ110" s="17">
        <v>30420</v>
      </c>
      <c r="AS110">
        <v>200</v>
      </c>
      <c r="AT110" s="12">
        <f>(10*24*31)+(89.5*((((BJ110/24)/31)/8000)^2)*(24*31))</f>
        <v>7440</v>
      </c>
      <c r="AU110" s="12">
        <f t="shared" si="29"/>
        <v>7440</v>
      </c>
      <c r="AW110" s="12">
        <v>0</v>
      </c>
      <c r="AX110" s="12">
        <v>0</v>
      </c>
      <c r="AY110" s="12">
        <f t="shared" si="27"/>
        <v>1651.7122535182796</v>
      </c>
      <c r="AZ110" s="12">
        <f>1*((4.3*24*31)+(21*(((((BH110/2)/31)/24)/1250)^2)*(24*31)))</f>
        <v>3199.2</v>
      </c>
      <c r="BA110" s="12">
        <f t="shared" si="28"/>
        <v>1636.8000000000002</v>
      </c>
      <c r="BB110" s="12">
        <v>0</v>
      </c>
      <c r="BC110">
        <v>150</v>
      </c>
      <c r="BD110" s="12">
        <v>500</v>
      </c>
      <c r="BE110" s="12">
        <v>500</v>
      </c>
      <c r="BF110" s="12">
        <v>0</v>
      </c>
      <c r="BG110" s="12">
        <v>571</v>
      </c>
      <c r="BH110" s="12">
        <v>0</v>
      </c>
    </row>
    <row r="111" spans="1:60">
      <c r="A111">
        <v>110</v>
      </c>
      <c r="B111">
        <v>2059455</v>
      </c>
      <c r="C111">
        <v>1970022</v>
      </c>
      <c r="D111">
        <v>12903</v>
      </c>
      <c r="E111">
        <v>76530.377026596761</v>
      </c>
      <c r="F111">
        <v>2450</v>
      </c>
      <c r="G111">
        <v>1093</v>
      </c>
      <c r="H111">
        <v>2</v>
      </c>
      <c r="I111">
        <v>35317</v>
      </c>
      <c r="J111">
        <v>32731</v>
      </c>
      <c r="K111">
        <v>2094</v>
      </c>
      <c r="L111">
        <v>0</v>
      </c>
      <c r="O111" s="3">
        <v>2</v>
      </c>
      <c r="P111" s="3"/>
      <c r="Q111" s="3"/>
      <c r="S111" s="6">
        <v>390</v>
      </c>
      <c r="T111" s="6">
        <v>1565</v>
      </c>
      <c r="U111" s="6">
        <v>139</v>
      </c>
      <c r="V111" s="7"/>
      <c r="X111" s="9">
        <v>675</v>
      </c>
      <c r="Y111" s="9">
        <v>1039</v>
      </c>
      <c r="Z111" s="9">
        <v>0</v>
      </c>
      <c r="AA111" s="9">
        <v>2109</v>
      </c>
      <c r="AB111" s="9">
        <v>16</v>
      </c>
      <c r="AC111" s="9">
        <v>5948</v>
      </c>
      <c r="AD111" s="9">
        <v>3116</v>
      </c>
      <c r="AF111" s="15">
        <f t="shared" si="0"/>
        <v>1840</v>
      </c>
      <c r="AG111" s="15">
        <v>200</v>
      </c>
      <c r="AH111" s="12">
        <v>400</v>
      </c>
      <c r="AI111" s="12">
        <v>50</v>
      </c>
      <c r="AJ111" s="12">
        <v>110</v>
      </c>
      <c r="AK111" s="9">
        <v>0</v>
      </c>
      <c r="AL111" s="15">
        <v>0</v>
      </c>
      <c r="AM111" s="15">
        <v>20</v>
      </c>
      <c r="AN111" s="15">
        <v>143</v>
      </c>
      <c r="AO111" s="15">
        <v>50</v>
      </c>
      <c r="AP111" s="15">
        <v>100</v>
      </c>
      <c r="AQ111" s="17">
        <v>29334</v>
      </c>
      <c r="AS111">
        <v>200</v>
      </c>
      <c r="AT111" s="12">
        <f>(9*24*31)+(89.5*((((BJ111/24)/31)/8000)^2)*(24*31))</f>
        <v>6696</v>
      </c>
      <c r="AU111" s="12">
        <f t="shared" si="29"/>
        <v>7440</v>
      </c>
      <c r="AW111" s="12">
        <f>(7.9*24*31)+(58.2*((((BK111/31)/24)/6300)^2)*(24*31))</f>
        <v>5877.6</v>
      </c>
      <c r="AX111" s="12">
        <v>0</v>
      </c>
      <c r="AY111" s="12">
        <f t="shared" si="27"/>
        <v>1651.7008415612904</v>
      </c>
      <c r="AZ111" s="12">
        <f>1*((4.3*24*31)+(21*(((((BH111/2)/31)/24)/1250)^2)*(24*31)))</f>
        <v>3199.2</v>
      </c>
      <c r="BA111" s="12">
        <f t="shared" si="28"/>
        <v>1636.8000000000002</v>
      </c>
      <c r="BB111" s="12">
        <v>0</v>
      </c>
      <c r="BC111">
        <v>150</v>
      </c>
      <c r="BD111" s="12">
        <v>400</v>
      </c>
      <c r="BE111" s="12">
        <v>400</v>
      </c>
      <c r="BF111" s="12">
        <v>0</v>
      </c>
      <c r="BG111" s="12">
        <v>459</v>
      </c>
      <c r="BH111" s="12">
        <v>0</v>
      </c>
    </row>
    <row r="112" spans="1:60">
      <c r="A112">
        <v>111</v>
      </c>
      <c r="B112">
        <v>2251037.5</v>
      </c>
      <c r="C112">
        <v>2156119</v>
      </c>
      <c r="D112">
        <v>15669</v>
      </c>
      <c r="E112">
        <v>79249.154657165753</v>
      </c>
      <c r="F112">
        <v>2159</v>
      </c>
      <c r="G112">
        <v>901</v>
      </c>
      <c r="H112">
        <v>11</v>
      </c>
      <c r="I112">
        <v>61217</v>
      </c>
      <c r="J112">
        <v>54602</v>
      </c>
      <c r="K112">
        <v>3782</v>
      </c>
      <c r="L112">
        <v>0</v>
      </c>
      <c r="O112" s="2">
        <v>11</v>
      </c>
      <c r="P112" s="2"/>
      <c r="Q112" s="2"/>
      <c r="S112" s="5">
        <v>1046</v>
      </c>
      <c r="T112" s="5">
        <v>2407</v>
      </c>
      <c r="U112" s="5">
        <v>329</v>
      </c>
      <c r="V112" s="8"/>
      <c r="X112" s="9">
        <v>711</v>
      </c>
      <c r="Y112" s="9">
        <v>949</v>
      </c>
      <c r="Z112" s="9">
        <v>0</v>
      </c>
      <c r="AA112" s="9">
        <v>2800</v>
      </c>
      <c r="AB112" s="9">
        <v>12</v>
      </c>
      <c r="AC112" s="9">
        <v>7856</v>
      </c>
      <c r="AD112" s="9">
        <v>3341</v>
      </c>
      <c r="AF112" s="15">
        <f t="shared" si="0"/>
        <v>1840</v>
      </c>
      <c r="AG112" s="15">
        <v>200</v>
      </c>
      <c r="AH112" s="12">
        <v>400</v>
      </c>
      <c r="AI112" s="12">
        <v>50</v>
      </c>
      <c r="AJ112" s="12">
        <v>110</v>
      </c>
      <c r="AK112" s="9">
        <v>0</v>
      </c>
      <c r="AL112" s="15">
        <v>0</v>
      </c>
      <c r="AM112" s="15">
        <v>20</v>
      </c>
      <c r="AN112" s="15">
        <v>143</v>
      </c>
      <c r="AO112" s="15">
        <v>50</v>
      </c>
      <c r="AP112" s="15">
        <v>100</v>
      </c>
      <c r="AQ112" s="17">
        <v>28903</v>
      </c>
      <c r="AS112">
        <v>484</v>
      </c>
      <c r="AT112" s="12">
        <f>(10*24*31)+(89.5*((((BJ112/24)/31)/8000)^2)*(24*31))</f>
        <v>7440</v>
      </c>
      <c r="AU112" s="12">
        <f t="shared" si="29"/>
        <v>7440</v>
      </c>
      <c r="AW112" s="12">
        <v>0</v>
      </c>
      <c r="AX112" s="12">
        <v>0</v>
      </c>
      <c r="AY112" s="12">
        <f t="shared" si="27"/>
        <v>1651.701206395699</v>
      </c>
      <c r="AZ112" s="12">
        <f>2*((4.3*24*31)+(21*(((((BH112/2)/31)/24)/1250)^2)*(24*31)))</f>
        <v>6398.4</v>
      </c>
      <c r="BA112" s="12">
        <f t="shared" si="28"/>
        <v>1636.8000000000002</v>
      </c>
      <c r="BB112" s="12">
        <v>0</v>
      </c>
      <c r="BC112">
        <v>150</v>
      </c>
      <c r="BD112" s="12">
        <v>400</v>
      </c>
      <c r="BE112" s="12">
        <v>400</v>
      </c>
      <c r="BF112" s="12">
        <v>1700</v>
      </c>
      <c r="BG112" s="12">
        <v>463</v>
      </c>
      <c r="BH112" s="12">
        <v>0</v>
      </c>
    </row>
    <row r="113" spans="1:60">
      <c r="A113">
        <v>112</v>
      </c>
      <c r="B113">
        <v>1911245</v>
      </c>
      <c r="C113">
        <v>1809530</v>
      </c>
      <c r="D113">
        <v>17679</v>
      </c>
      <c r="E113">
        <v>84036.247082872433</v>
      </c>
      <c r="F113">
        <v>2440</v>
      </c>
      <c r="G113">
        <v>750</v>
      </c>
      <c r="H113">
        <v>14</v>
      </c>
      <c r="I113">
        <v>85798</v>
      </c>
      <c r="J113">
        <v>80684</v>
      </c>
      <c r="K113">
        <v>4362</v>
      </c>
      <c r="L113">
        <v>0</v>
      </c>
      <c r="O113" s="3">
        <v>14</v>
      </c>
      <c r="P113" s="3"/>
      <c r="Q113" s="3"/>
      <c r="S113" s="6">
        <v>1319</v>
      </c>
      <c r="T113" s="6">
        <v>2643</v>
      </c>
      <c r="U113" s="6">
        <v>400</v>
      </c>
      <c r="V113" s="7"/>
      <c r="X113" s="9">
        <v>2760</v>
      </c>
      <c r="Y113" s="9">
        <v>1018</v>
      </c>
      <c r="Z113" s="9">
        <v>0</v>
      </c>
      <c r="AA113" s="9">
        <v>2837</v>
      </c>
      <c r="AB113" s="9">
        <v>605</v>
      </c>
      <c r="AC113" s="9">
        <v>6912</v>
      </c>
      <c r="AD113" s="9">
        <v>3547</v>
      </c>
      <c r="AF113" s="15">
        <f t="shared" si="0"/>
        <v>1840</v>
      </c>
      <c r="AG113" s="15">
        <v>200</v>
      </c>
      <c r="AH113" s="12">
        <v>400</v>
      </c>
      <c r="AI113" s="12">
        <v>50</v>
      </c>
      <c r="AJ113" s="12">
        <v>110</v>
      </c>
      <c r="AK113" s="9">
        <v>0</v>
      </c>
      <c r="AL113" s="15">
        <v>0</v>
      </c>
      <c r="AM113" s="15">
        <v>20</v>
      </c>
      <c r="AN113" s="15">
        <v>200</v>
      </c>
      <c r="AO113" s="15">
        <v>50</v>
      </c>
      <c r="AP113" s="15">
        <v>200</v>
      </c>
      <c r="AQ113" s="17">
        <v>27202</v>
      </c>
      <c r="AS113">
        <v>761</v>
      </c>
      <c r="AT113" s="12">
        <f>(10.8*24*31)+(89.5*((((BJ113/24)/31)/8000)^2)*(24*31))</f>
        <v>8035.2000000000016</v>
      </c>
      <c r="AU113" s="12">
        <f t="shared" si="29"/>
        <v>7440</v>
      </c>
      <c r="AW113" s="12">
        <v>0</v>
      </c>
      <c r="AX113" s="12">
        <v>0</v>
      </c>
      <c r="AY113" s="12">
        <f t="shared" si="27"/>
        <v>1651.701206395699</v>
      </c>
      <c r="AZ113" s="12">
        <f>2*((4.3*24*31)+(21*(((((BH113/2)/31)/24)/1250)^2)*(24*31)))</f>
        <v>6398.4090322580641</v>
      </c>
      <c r="BA113" s="12">
        <f t="shared" si="28"/>
        <v>1636.8000000000002</v>
      </c>
      <c r="BB113" s="12">
        <v>0</v>
      </c>
      <c r="BC113">
        <v>150</v>
      </c>
      <c r="BD113" s="12">
        <v>400</v>
      </c>
      <c r="BE113" s="12">
        <v>400</v>
      </c>
      <c r="BF113" s="12">
        <v>7500</v>
      </c>
      <c r="BG113" s="12">
        <v>463</v>
      </c>
      <c r="BH113" s="12">
        <v>1000</v>
      </c>
    </row>
    <row r="114" spans="1:60">
      <c r="A114">
        <v>113</v>
      </c>
      <c r="B114">
        <v>2120627.5</v>
      </c>
      <c r="C114">
        <v>1995796</v>
      </c>
      <c r="D114">
        <v>15565</v>
      </c>
      <c r="E114">
        <v>109266.66335361378</v>
      </c>
      <c r="F114">
        <v>2714</v>
      </c>
      <c r="G114">
        <v>845</v>
      </c>
      <c r="H114">
        <v>22</v>
      </c>
      <c r="I114">
        <v>133148</v>
      </c>
      <c r="J114">
        <v>123628</v>
      </c>
      <c r="K114">
        <v>6227</v>
      </c>
      <c r="L114">
        <v>0</v>
      </c>
      <c r="O114" s="2">
        <v>22</v>
      </c>
      <c r="P114" s="2"/>
      <c r="Q114" s="2"/>
      <c r="S114" s="5">
        <v>1883</v>
      </c>
      <c r="T114" s="5">
        <v>3773</v>
      </c>
      <c r="U114" s="5">
        <v>571</v>
      </c>
      <c r="V114" s="8"/>
      <c r="X114" s="9">
        <v>1365</v>
      </c>
      <c r="Y114" s="9">
        <v>1151</v>
      </c>
      <c r="Z114" s="9">
        <v>0</v>
      </c>
      <c r="AA114" s="9">
        <v>3556</v>
      </c>
      <c r="AB114" s="9">
        <v>656</v>
      </c>
      <c r="AC114" s="9">
        <v>5272</v>
      </c>
      <c r="AD114" s="9">
        <v>3565</v>
      </c>
      <c r="AF114" s="15">
        <f t="shared" si="0"/>
        <v>1840</v>
      </c>
      <c r="AG114" s="15">
        <v>200</v>
      </c>
      <c r="AH114" s="12">
        <v>400</v>
      </c>
      <c r="AI114" s="12">
        <v>50</v>
      </c>
      <c r="AJ114" s="12">
        <v>110</v>
      </c>
      <c r="AK114" s="9">
        <v>0</v>
      </c>
      <c r="AL114" s="15">
        <v>0</v>
      </c>
      <c r="AM114" s="15">
        <v>20</v>
      </c>
      <c r="AN114" s="15">
        <v>200</v>
      </c>
      <c r="AO114" s="15">
        <v>50</v>
      </c>
      <c r="AP114" s="15">
        <v>200</v>
      </c>
      <c r="AQ114" s="17">
        <v>30499</v>
      </c>
      <c r="AS114">
        <v>1234</v>
      </c>
      <c r="AT114" s="12">
        <f>(16*24*31)+(89.5*((((BJ114/24)/31)/8000)^2)*(24*31))</f>
        <v>11904</v>
      </c>
      <c r="AU114" s="12">
        <f>(16*24*31)+(89.5*((((BJ114/24)/31)/7000)^2)*(24*31))</f>
        <v>11904</v>
      </c>
      <c r="AW114" s="12">
        <v>0</v>
      </c>
      <c r="AX114" s="12">
        <v>0</v>
      </c>
      <c r="AY114" s="12">
        <f t="shared" si="27"/>
        <v>1651.701206395699</v>
      </c>
      <c r="AZ114" s="12">
        <f>2*((4.3*24*31)+(21*(((((BH114/2)/31)/24)/1250)^2)*(24*31)))</f>
        <v>6398.4361290322577</v>
      </c>
      <c r="BA114" s="12">
        <f t="shared" si="28"/>
        <v>1636.8000000000002</v>
      </c>
      <c r="BB114" s="12">
        <v>0</v>
      </c>
      <c r="BC114">
        <v>150</v>
      </c>
      <c r="BD114" s="12">
        <v>400</v>
      </c>
      <c r="BE114" s="12">
        <v>1000</v>
      </c>
      <c r="BF114" s="12">
        <v>17500</v>
      </c>
      <c r="BG114" s="12">
        <v>463</v>
      </c>
      <c r="BH114" s="12">
        <v>2000</v>
      </c>
    </row>
    <row r="115" spans="1:60">
      <c r="A115">
        <v>114</v>
      </c>
      <c r="B115">
        <v>2007985</v>
      </c>
      <c r="C115">
        <v>1902958</v>
      </c>
      <c r="D115">
        <v>13180</v>
      </c>
      <c r="E115">
        <v>91846.532338806865</v>
      </c>
      <c r="F115">
        <v>3121</v>
      </c>
      <c r="G115">
        <v>1165</v>
      </c>
      <c r="H115">
        <v>21</v>
      </c>
      <c r="I115">
        <v>79428</v>
      </c>
      <c r="J115">
        <v>73863</v>
      </c>
      <c r="K115">
        <v>4549</v>
      </c>
      <c r="L115">
        <v>0</v>
      </c>
      <c r="O115" s="3">
        <v>21</v>
      </c>
      <c r="P115" s="3"/>
      <c r="Q115" s="3"/>
      <c r="S115" s="6">
        <v>1101</v>
      </c>
      <c r="T115" s="6">
        <v>2945</v>
      </c>
      <c r="U115" s="6">
        <v>503</v>
      </c>
      <c r="V115" s="7"/>
      <c r="X115" s="9">
        <v>1455</v>
      </c>
      <c r="Y115" s="9">
        <v>1319</v>
      </c>
      <c r="Z115" s="9">
        <v>0</v>
      </c>
      <c r="AA115" s="9">
        <v>2610</v>
      </c>
      <c r="AB115" s="9">
        <v>599</v>
      </c>
      <c r="AC115" s="9">
        <v>4296</v>
      </c>
      <c r="AD115" s="9">
        <v>2901</v>
      </c>
      <c r="AF115" s="15">
        <f t="shared" si="0"/>
        <v>1840</v>
      </c>
      <c r="AG115" s="15">
        <v>200</v>
      </c>
      <c r="AH115" s="12">
        <v>400</v>
      </c>
      <c r="AI115" s="12">
        <v>50</v>
      </c>
      <c r="AJ115" s="12">
        <v>110</v>
      </c>
      <c r="AK115" s="9">
        <v>0</v>
      </c>
      <c r="AL115" s="15">
        <v>0</v>
      </c>
      <c r="AM115" s="15">
        <v>20</v>
      </c>
      <c r="AN115" s="15">
        <v>200</v>
      </c>
      <c r="AO115" s="15">
        <v>50</v>
      </c>
      <c r="AP115" s="15">
        <v>200</v>
      </c>
      <c r="AQ115" s="17">
        <v>29235</v>
      </c>
      <c r="AS115">
        <v>1234</v>
      </c>
      <c r="AT115" s="12">
        <f>(16*24*31)+(89.5*((((BJ115/24)/31)/8000)^2)*(24*31))</f>
        <v>11904</v>
      </c>
      <c r="AU115" s="12">
        <f>(16*24*31)+(89.5*((((BJ115/24)/31)/7000)^2)*(24*31))</f>
        <v>11904</v>
      </c>
      <c r="AW115" s="12">
        <v>0</v>
      </c>
      <c r="AX115" s="12">
        <v>0</v>
      </c>
      <c r="AY115" s="12">
        <f t="shared" si="27"/>
        <v>1651.701206395699</v>
      </c>
      <c r="AZ115" s="12">
        <f>2*((4.3*24*31)+(21*(((((BH115/2)/31)/24)/1250)^2)*(24*31)))</f>
        <v>6398.402258064516</v>
      </c>
      <c r="BA115" s="12">
        <f t="shared" si="28"/>
        <v>1636.8000000000002</v>
      </c>
      <c r="BB115" s="12">
        <v>0</v>
      </c>
      <c r="BC115">
        <v>150</v>
      </c>
      <c r="BD115" s="12">
        <v>400</v>
      </c>
      <c r="BE115" s="12">
        <v>1000</v>
      </c>
      <c r="BF115" s="12">
        <v>3718</v>
      </c>
      <c r="BG115" s="12">
        <v>463</v>
      </c>
      <c r="BH115" s="12">
        <v>500</v>
      </c>
    </row>
    <row r="116" spans="1:60">
      <c r="X116" s="9"/>
      <c r="Y116" s="9"/>
      <c r="Z116" s="9"/>
    </row>
    <row r="117" spans="1:60">
      <c r="X117" s="9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Jindřich Reiser</dc:creator>
  <cp:lastModifiedBy>Jindřich Reiser</cp:lastModifiedBy>
  <dcterms:created xsi:type="dcterms:W3CDTF">2017-03-21T07:25:54Z</dcterms:created>
  <dcterms:modified xsi:type="dcterms:W3CDTF">2017-03-23T10:30:46Z</dcterms:modified>
</cp:coreProperties>
</file>